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траты основные (год)" sheetId="1" r:id="rId1"/>
    <sheet name="Рентабельность" sheetId="7" r:id="rId2"/>
    <sheet name="Лист1" sheetId="8" state="hidden" r:id="rId3"/>
    <sheet name="ГОСТы (ISO)" sheetId="3" r:id="rId4"/>
    <sheet name="Производственная линия" sheetId="4" r:id="rId5"/>
    <sheet name="Упаковочная линия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8" l="1"/>
  <c r="M33" i="8" s="1"/>
  <c r="P33" i="8" s="1"/>
  <c r="R33" i="8" s="1"/>
  <c r="J32" i="8"/>
  <c r="M32" i="8" s="1"/>
  <c r="P32" i="8" s="1"/>
  <c r="R32" i="8" s="1"/>
  <c r="J31" i="8"/>
  <c r="M31" i="8" s="1"/>
  <c r="P31" i="8" s="1"/>
  <c r="R31" i="8" s="1"/>
  <c r="J30" i="8"/>
  <c r="M30" i="8" s="1"/>
  <c r="P30" i="8" s="1"/>
  <c r="R30" i="8" s="1"/>
  <c r="J29" i="8"/>
  <c r="M29" i="8" s="1"/>
  <c r="P29" i="8" s="1"/>
  <c r="R29" i="8" s="1"/>
  <c r="J28" i="8"/>
  <c r="M28" i="8" s="1"/>
  <c r="P28" i="8" s="1"/>
  <c r="R28" i="8" s="1"/>
  <c r="J27" i="8"/>
  <c r="M27" i="8" s="1"/>
  <c r="P27" i="8" s="1"/>
  <c r="R27" i="8" s="1"/>
  <c r="J26" i="8"/>
  <c r="M26" i="8" s="1"/>
  <c r="P26" i="8" s="1"/>
  <c r="R26" i="8" s="1"/>
  <c r="J25" i="8"/>
  <c r="M25" i="8" s="1"/>
  <c r="P25" i="8" s="1"/>
  <c r="R25" i="8" s="1"/>
  <c r="J24" i="8"/>
  <c r="M24" i="8" s="1"/>
  <c r="P24" i="8" s="1"/>
  <c r="R24" i="8" s="1"/>
  <c r="J23" i="8"/>
  <c r="M23" i="8" s="1"/>
  <c r="P23" i="8" s="1"/>
  <c r="R23" i="8" s="1"/>
  <c r="J22" i="8"/>
  <c r="M22" i="8" s="1"/>
  <c r="P22" i="8" s="1"/>
  <c r="R22" i="8" s="1"/>
  <c r="J21" i="8"/>
  <c r="M21" i="8" s="1"/>
  <c r="P21" i="8" s="1"/>
  <c r="R21" i="8" s="1"/>
  <c r="J20" i="8"/>
  <c r="M20" i="8" s="1"/>
  <c r="P20" i="8" s="1"/>
  <c r="R20" i="8" s="1"/>
  <c r="J19" i="8"/>
  <c r="M19" i="8" s="1"/>
  <c r="P19" i="8" s="1"/>
  <c r="R19" i="8" s="1"/>
  <c r="J18" i="8"/>
  <c r="M18" i="8" s="1"/>
  <c r="P18" i="8" s="1"/>
  <c r="R18" i="8" s="1"/>
  <c r="J17" i="8"/>
  <c r="M17" i="8" s="1"/>
  <c r="P17" i="8" s="1"/>
  <c r="D11" i="8"/>
  <c r="P34" i="8" l="1"/>
  <c r="R34" i="8" s="1"/>
  <c r="R17" i="8"/>
  <c r="D5" i="8"/>
  <c r="D6" i="8" s="1"/>
  <c r="D7" i="8" s="1"/>
  <c r="Y52" i="7"/>
  <c r="P49" i="1"/>
  <c r="Y54" i="7"/>
  <c r="Y48" i="7"/>
  <c r="X35" i="7"/>
  <c r="R35" i="7"/>
  <c r="D36" i="7"/>
  <c r="D48" i="7"/>
  <c r="D45" i="7"/>
  <c r="D42" i="7"/>
  <c r="D39" i="7"/>
  <c r="D33" i="7"/>
  <c r="X32" i="7"/>
  <c r="X22" i="7"/>
  <c r="S32" i="7"/>
  <c r="S20" i="7"/>
  <c r="E10" i="1"/>
  <c r="F10" i="1"/>
  <c r="G10" i="1"/>
  <c r="H10" i="1"/>
  <c r="I10" i="1"/>
  <c r="J10" i="1"/>
  <c r="K10" i="1"/>
  <c r="L10" i="1"/>
  <c r="M10" i="1"/>
  <c r="N10" i="1"/>
  <c r="O10" i="1"/>
  <c r="D10" i="1"/>
  <c r="Q45" i="1"/>
  <c r="C36" i="1" s="1"/>
  <c r="S2" i="7"/>
  <c r="P7" i="7"/>
  <c r="R14" i="7" s="1"/>
  <c r="O20" i="1"/>
  <c r="N20" i="1"/>
  <c r="M20" i="1"/>
  <c r="L20" i="1"/>
  <c r="K20" i="1"/>
  <c r="K21" i="1"/>
  <c r="J20" i="1"/>
  <c r="I20" i="1"/>
  <c r="H20" i="1"/>
  <c r="G20" i="1"/>
  <c r="F20" i="1"/>
  <c r="E20" i="1"/>
  <c r="D20" i="1"/>
  <c r="P13" i="1"/>
  <c r="P12" i="1"/>
  <c r="Z21" i="4"/>
  <c r="Z20" i="4"/>
  <c r="Z19" i="4"/>
  <c r="AC49" i="4"/>
  <c r="AF49" i="4" s="1"/>
  <c r="Z49" i="4"/>
  <c r="Z48" i="4"/>
  <c r="Z47" i="4"/>
  <c r="Z46" i="4"/>
  <c r="Z45" i="4"/>
  <c r="Z18" i="4"/>
  <c r="E38" i="4"/>
  <c r="F47" i="4" s="1"/>
  <c r="F53" i="4"/>
  <c r="E40" i="1"/>
  <c r="F40" i="1"/>
  <c r="G40" i="1"/>
  <c r="H40" i="1"/>
  <c r="I40" i="1"/>
  <c r="J40" i="1"/>
  <c r="K40" i="1"/>
  <c r="L40" i="1"/>
  <c r="M40" i="1"/>
  <c r="N40" i="1"/>
  <c r="O40" i="1"/>
  <c r="D40" i="1"/>
  <c r="O21" i="1"/>
  <c r="N21" i="1"/>
  <c r="M21" i="1"/>
  <c r="L21" i="1"/>
  <c r="J21" i="1"/>
  <c r="I21" i="1"/>
  <c r="H21" i="1"/>
  <c r="G21" i="1"/>
  <c r="F21" i="1"/>
  <c r="E21" i="1"/>
  <c r="D21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P24" i="1"/>
  <c r="P37" i="1"/>
  <c r="E15" i="1"/>
  <c r="F15" i="1"/>
  <c r="G15" i="1"/>
  <c r="H15" i="1"/>
  <c r="I15" i="1"/>
  <c r="J15" i="1"/>
  <c r="K15" i="1"/>
  <c r="L15" i="1"/>
  <c r="M15" i="1"/>
  <c r="N15" i="1"/>
  <c r="O15" i="1"/>
  <c r="D15" i="1"/>
  <c r="E16" i="1"/>
  <c r="F16" i="1"/>
  <c r="G16" i="1"/>
  <c r="H16" i="1"/>
  <c r="I16" i="1"/>
  <c r="J16" i="1"/>
  <c r="K16" i="1"/>
  <c r="L16" i="1"/>
  <c r="M16" i="1"/>
  <c r="N16" i="1"/>
  <c r="O16" i="1"/>
  <c r="D16" i="1"/>
  <c r="E23" i="1"/>
  <c r="F23" i="1"/>
  <c r="G23" i="1"/>
  <c r="H23" i="1"/>
  <c r="I23" i="1"/>
  <c r="J23" i="1"/>
  <c r="K23" i="1"/>
  <c r="L23" i="1"/>
  <c r="M23" i="1"/>
  <c r="N23" i="1"/>
  <c r="O23" i="1"/>
  <c r="D23" i="1"/>
  <c r="E38" i="1"/>
  <c r="F38" i="1"/>
  <c r="G38" i="1"/>
  <c r="H38" i="1"/>
  <c r="I38" i="1"/>
  <c r="J38" i="1"/>
  <c r="K38" i="1"/>
  <c r="L38" i="1"/>
  <c r="M38" i="1"/>
  <c r="N38" i="1"/>
  <c r="O38" i="1"/>
  <c r="D38" i="1"/>
  <c r="T14" i="7" l="1"/>
  <c r="V14" i="7"/>
  <c r="V8" i="7"/>
  <c r="V9" i="7" s="1"/>
  <c r="V10" i="7" s="1"/>
  <c r="D9" i="8"/>
  <c r="D8" i="8"/>
  <c r="D10" i="8" s="1"/>
  <c r="Y22" i="7"/>
  <c r="Y32" i="7"/>
  <c r="G57" i="1"/>
  <c r="G69" i="1"/>
  <c r="E67" i="1"/>
  <c r="H64" i="1"/>
  <c r="I71" i="1"/>
  <c r="C27" i="1"/>
  <c r="E27" i="1" s="1"/>
  <c r="J66" i="1"/>
  <c r="F62" i="1"/>
  <c r="K61" i="1"/>
  <c r="D72" i="1"/>
  <c r="D60" i="1"/>
  <c r="D61" i="1"/>
  <c r="E56" i="1"/>
  <c r="E68" i="1"/>
  <c r="F63" i="1"/>
  <c r="G58" i="1"/>
  <c r="G70" i="1"/>
  <c r="H65" i="1"/>
  <c r="I60" i="1"/>
  <c r="I72" i="1"/>
  <c r="J67" i="1"/>
  <c r="K62" i="1"/>
  <c r="L57" i="1"/>
  <c r="L69" i="1"/>
  <c r="M64" i="1"/>
  <c r="N59" i="1"/>
  <c r="N71" i="1"/>
  <c r="O67" i="1"/>
  <c r="M63" i="1"/>
  <c r="L58" i="1"/>
  <c r="D63" i="1"/>
  <c r="E58" i="1"/>
  <c r="E70" i="1"/>
  <c r="F65" i="1"/>
  <c r="G60" i="1"/>
  <c r="G72" i="1"/>
  <c r="H67" i="1"/>
  <c r="I62" i="1"/>
  <c r="J57" i="1"/>
  <c r="J69" i="1"/>
  <c r="K64" i="1"/>
  <c r="L59" i="1"/>
  <c r="L71" i="1"/>
  <c r="M66" i="1"/>
  <c r="N61" i="1"/>
  <c r="O56" i="1"/>
  <c r="O69" i="1"/>
  <c r="I59" i="1"/>
  <c r="L56" i="1"/>
  <c r="K63" i="1"/>
  <c r="C31" i="1"/>
  <c r="O31" i="1" s="1"/>
  <c r="D64" i="1"/>
  <c r="E59" i="1"/>
  <c r="E71" i="1"/>
  <c r="F66" i="1"/>
  <c r="G61" i="1"/>
  <c r="H56" i="1"/>
  <c r="H68" i="1"/>
  <c r="I63" i="1"/>
  <c r="J58" i="1"/>
  <c r="J70" i="1"/>
  <c r="K65" i="1"/>
  <c r="L60" i="1"/>
  <c r="L72" i="1"/>
  <c r="M67" i="1"/>
  <c r="N62" i="1"/>
  <c r="O57" i="1"/>
  <c r="O70" i="1"/>
  <c r="O66" i="1"/>
  <c r="E69" i="1"/>
  <c r="G71" i="1"/>
  <c r="N60" i="1"/>
  <c r="C32" i="1"/>
  <c r="O32" i="1" s="1"/>
  <c r="D65" i="1"/>
  <c r="E60" i="1"/>
  <c r="E72" i="1"/>
  <c r="F67" i="1"/>
  <c r="G62" i="1"/>
  <c r="H57" i="1"/>
  <c r="H69" i="1"/>
  <c r="I64" i="1"/>
  <c r="J59" i="1"/>
  <c r="J71" i="1"/>
  <c r="K66" i="1"/>
  <c r="L61" i="1"/>
  <c r="M56" i="1"/>
  <c r="M68" i="1"/>
  <c r="N63" i="1"/>
  <c r="O58" i="1"/>
  <c r="N58" i="1"/>
  <c r="J68" i="1"/>
  <c r="N72" i="1"/>
  <c r="C28" i="1"/>
  <c r="O28" i="1" s="1"/>
  <c r="D66" i="1"/>
  <c r="E61" i="1"/>
  <c r="F56" i="1"/>
  <c r="F68" i="1"/>
  <c r="G63" i="1"/>
  <c r="H58" i="1"/>
  <c r="H70" i="1"/>
  <c r="I65" i="1"/>
  <c r="J60" i="1"/>
  <c r="J72" i="1"/>
  <c r="K67" i="1"/>
  <c r="L62" i="1"/>
  <c r="M57" i="1"/>
  <c r="M69" i="1"/>
  <c r="N64" i="1"/>
  <c r="O59" i="1"/>
  <c r="O62" i="1"/>
  <c r="E57" i="1"/>
  <c r="J56" i="1"/>
  <c r="O68" i="1"/>
  <c r="C29" i="1"/>
  <c r="D29" i="1" s="1"/>
  <c r="D67" i="1"/>
  <c r="E62" i="1"/>
  <c r="F57" i="1"/>
  <c r="F69" i="1"/>
  <c r="G64" i="1"/>
  <c r="H59" i="1"/>
  <c r="H71" i="1"/>
  <c r="I66" i="1"/>
  <c r="J61" i="1"/>
  <c r="K56" i="1"/>
  <c r="K68" i="1"/>
  <c r="L63" i="1"/>
  <c r="M58" i="1"/>
  <c r="M70" i="1"/>
  <c r="N65" i="1"/>
  <c r="O60" i="1"/>
  <c r="G59" i="1"/>
  <c r="D56" i="1"/>
  <c r="D68" i="1"/>
  <c r="E63" i="1"/>
  <c r="F58" i="1"/>
  <c r="F70" i="1"/>
  <c r="G65" i="1"/>
  <c r="H60" i="1"/>
  <c r="H72" i="1"/>
  <c r="I67" i="1"/>
  <c r="J62" i="1"/>
  <c r="K57" i="1"/>
  <c r="K69" i="1"/>
  <c r="L64" i="1"/>
  <c r="M59" i="1"/>
  <c r="M71" i="1"/>
  <c r="N66" i="1"/>
  <c r="O61" i="1"/>
  <c r="L68" i="1"/>
  <c r="F64" i="1"/>
  <c r="D57" i="1"/>
  <c r="D69" i="1"/>
  <c r="E64" i="1"/>
  <c r="F59" i="1"/>
  <c r="F71" i="1"/>
  <c r="G66" i="1"/>
  <c r="H61" i="1"/>
  <c r="I56" i="1"/>
  <c r="I68" i="1"/>
  <c r="J63" i="1"/>
  <c r="K58" i="1"/>
  <c r="K70" i="1"/>
  <c r="L65" i="1"/>
  <c r="M60" i="1"/>
  <c r="M72" i="1"/>
  <c r="N67" i="1"/>
  <c r="O63" i="1"/>
  <c r="O71" i="1"/>
  <c r="D62" i="1"/>
  <c r="I61" i="1"/>
  <c r="M65" i="1"/>
  <c r="D45" i="1"/>
  <c r="P45" i="1" s="1"/>
  <c r="D58" i="1"/>
  <c r="D70" i="1"/>
  <c r="E65" i="1"/>
  <c r="F60" i="1"/>
  <c r="F72" i="1"/>
  <c r="G67" i="1"/>
  <c r="H62" i="1"/>
  <c r="I57" i="1"/>
  <c r="I69" i="1"/>
  <c r="J64" i="1"/>
  <c r="K59" i="1"/>
  <c r="K71" i="1"/>
  <c r="L66" i="1"/>
  <c r="M61" i="1"/>
  <c r="N56" i="1"/>
  <c r="N68" i="1"/>
  <c r="O64" i="1"/>
  <c r="C35" i="1"/>
  <c r="G35" i="1" s="1"/>
  <c r="N70" i="1"/>
  <c r="H66" i="1"/>
  <c r="L70" i="1"/>
  <c r="C26" i="1"/>
  <c r="G26" i="1" s="1"/>
  <c r="D59" i="1"/>
  <c r="D71" i="1"/>
  <c r="E66" i="1"/>
  <c r="F61" i="1"/>
  <c r="G56" i="1"/>
  <c r="G68" i="1"/>
  <c r="H63" i="1"/>
  <c r="I58" i="1"/>
  <c r="I70" i="1"/>
  <c r="J65" i="1"/>
  <c r="K60" i="1"/>
  <c r="K72" i="1"/>
  <c r="L67" i="1"/>
  <c r="M62" i="1"/>
  <c r="N57" i="1"/>
  <c r="N69" i="1"/>
  <c r="O65" i="1"/>
  <c r="O36" i="1"/>
  <c r="D36" i="1"/>
  <c r="E36" i="1"/>
  <c r="F36" i="1"/>
  <c r="G36" i="1"/>
  <c r="H36" i="1"/>
  <c r="I36" i="1"/>
  <c r="J36" i="1"/>
  <c r="K36" i="1"/>
  <c r="M36" i="1"/>
  <c r="L36" i="1"/>
  <c r="N36" i="1"/>
  <c r="Y46" i="7"/>
  <c r="R8" i="7"/>
  <c r="R9" i="7" s="1"/>
  <c r="R10" i="7" s="1"/>
  <c r="R12" i="7" s="1"/>
  <c r="T8" i="7"/>
  <c r="T9" i="7" s="1"/>
  <c r="T10" i="7" s="1"/>
  <c r="O72" i="1"/>
  <c r="P33" i="1"/>
  <c r="P34" i="1"/>
  <c r="P21" i="1"/>
  <c r="E51" i="1"/>
  <c r="F51" i="1"/>
  <c r="G51" i="1"/>
  <c r="H51" i="1"/>
  <c r="I51" i="1"/>
  <c r="J51" i="1"/>
  <c r="K51" i="1"/>
  <c r="L51" i="1"/>
  <c r="M51" i="1"/>
  <c r="N51" i="1"/>
  <c r="O51" i="1"/>
  <c r="P50" i="1"/>
  <c r="P46" i="1"/>
  <c r="P47" i="1"/>
  <c r="P48" i="1"/>
  <c r="Z44" i="4"/>
  <c r="AC44" i="4" s="1"/>
  <c r="AF44" i="4" s="1"/>
  <c r="AH44" i="4" s="1"/>
  <c r="Z43" i="4"/>
  <c r="AC43" i="4" s="1"/>
  <c r="AF43" i="4" s="1"/>
  <c r="AH43" i="4" s="1"/>
  <c r="Z42" i="4"/>
  <c r="AC42" i="4" s="1"/>
  <c r="AF42" i="4" s="1"/>
  <c r="AH42" i="4" s="1"/>
  <c r="Z41" i="4"/>
  <c r="AC41" i="4" s="1"/>
  <c r="AF41" i="4" s="1"/>
  <c r="AH41" i="4" s="1"/>
  <c r="Z40" i="4"/>
  <c r="AC40" i="4" s="1"/>
  <c r="AF40" i="4" s="1"/>
  <c r="AH40" i="4" s="1"/>
  <c r="Z39" i="4"/>
  <c r="AC39" i="4" s="1"/>
  <c r="AF39" i="4" s="1"/>
  <c r="AH39" i="4" s="1"/>
  <c r="Z38" i="4"/>
  <c r="AC38" i="4" s="1"/>
  <c r="AF38" i="4" s="1"/>
  <c r="AH38" i="4" s="1"/>
  <c r="Z37" i="4"/>
  <c r="AC37" i="4" s="1"/>
  <c r="AF37" i="4" s="1"/>
  <c r="AH37" i="4" s="1"/>
  <c r="Z36" i="4"/>
  <c r="AC36" i="4" s="1"/>
  <c r="AF36" i="4" s="1"/>
  <c r="AH36" i="4" s="1"/>
  <c r="Z35" i="4"/>
  <c r="AC35" i="4" s="1"/>
  <c r="AF35" i="4" s="1"/>
  <c r="AH35" i="4" s="1"/>
  <c r="Z34" i="4"/>
  <c r="AC34" i="4" s="1"/>
  <c r="AF34" i="4" s="1"/>
  <c r="AH34" i="4" s="1"/>
  <c r="Z33" i="4"/>
  <c r="AC33" i="4" s="1"/>
  <c r="AF33" i="4" s="1"/>
  <c r="AH33" i="4" s="1"/>
  <c r="Z32" i="4"/>
  <c r="AC32" i="4" s="1"/>
  <c r="AF32" i="4" s="1"/>
  <c r="AH32" i="4" s="1"/>
  <c r="AH49" i="4"/>
  <c r="AC48" i="4"/>
  <c r="AF48" i="4" s="1"/>
  <c r="AH48" i="4" s="1"/>
  <c r="AC47" i="4"/>
  <c r="AF47" i="4" s="1"/>
  <c r="AH47" i="4" s="1"/>
  <c r="AC46" i="4"/>
  <c r="AF46" i="4" s="1"/>
  <c r="AH46" i="4" s="1"/>
  <c r="AC45" i="4"/>
  <c r="AF45" i="4" s="1"/>
  <c r="AH45" i="4" s="1"/>
  <c r="Z17" i="4"/>
  <c r="AC17" i="4" s="1"/>
  <c r="AF17" i="4" s="1"/>
  <c r="AH17" i="4" s="1"/>
  <c r="Z16" i="4"/>
  <c r="AC16" i="4" s="1"/>
  <c r="AF16" i="4" s="1"/>
  <c r="AH16" i="4" s="1"/>
  <c r="Z15" i="4"/>
  <c r="AC15" i="4" s="1"/>
  <c r="AF15" i="4" s="1"/>
  <c r="AH15" i="4" s="1"/>
  <c r="Z14" i="4"/>
  <c r="AC14" i="4" s="1"/>
  <c r="AF14" i="4" s="1"/>
  <c r="AH14" i="4" s="1"/>
  <c r="Z13" i="4"/>
  <c r="AC13" i="4" s="1"/>
  <c r="AF13" i="4" s="1"/>
  <c r="AH13" i="4" s="1"/>
  <c r="Z12" i="4"/>
  <c r="AC12" i="4" s="1"/>
  <c r="AF12" i="4" s="1"/>
  <c r="AH12" i="4" s="1"/>
  <c r="Z11" i="4"/>
  <c r="AC11" i="4" s="1"/>
  <c r="AF11" i="4" s="1"/>
  <c r="AH11" i="4" s="1"/>
  <c r="Z10" i="4"/>
  <c r="AC10" i="4" s="1"/>
  <c r="AF10" i="4" s="1"/>
  <c r="AH10" i="4" s="1"/>
  <c r="Z9" i="4"/>
  <c r="AC9" i="4" s="1"/>
  <c r="AF9" i="4" s="1"/>
  <c r="AH9" i="4" s="1"/>
  <c r="Z8" i="4"/>
  <c r="AC8" i="4" s="1"/>
  <c r="AF8" i="4" s="1"/>
  <c r="AH8" i="4" s="1"/>
  <c r="Z7" i="4"/>
  <c r="AC7" i="4" s="1"/>
  <c r="AF7" i="4" s="1"/>
  <c r="AH7" i="4" s="1"/>
  <c r="Z6" i="4"/>
  <c r="AC6" i="4" s="1"/>
  <c r="AF6" i="4" s="1"/>
  <c r="AH6" i="4" s="1"/>
  <c r="Z5" i="4"/>
  <c r="AC5" i="4" s="1"/>
  <c r="AF5" i="4" s="1"/>
  <c r="AH5" i="4" s="1"/>
  <c r="AC18" i="4"/>
  <c r="AF18" i="4" s="1"/>
  <c r="AH18" i="4" s="1"/>
  <c r="AC20" i="4"/>
  <c r="AF20" i="4" s="1"/>
  <c r="AH20" i="4" s="1"/>
  <c r="AC21" i="4"/>
  <c r="AF21" i="4" s="1"/>
  <c r="AH21" i="4" s="1"/>
  <c r="AC19" i="4"/>
  <c r="AF19" i="4" s="1"/>
  <c r="AH19" i="4" s="1"/>
  <c r="F48" i="4"/>
  <c r="F49" i="4" s="1"/>
  <c r="F51" i="4" s="1"/>
  <c r="D47" i="4"/>
  <c r="D48" i="4" s="1"/>
  <c r="D49" i="4" s="1"/>
  <c r="D51" i="4" s="1"/>
  <c r="D53" i="4"/>
  <c r="E31" i="1" l="1"/>
  <c r="V11" i="7"/>
  <c r="V13" i="7" s="1"/>
  <c r="V12" i="7"/>
  <c r="N27" i="1"/>
  <c r="Y44" i="7"/>
  <c r="I27" i="1"/>
  <c r="L27" i="1"/>
  <c r="K27" i="1"/>
  <c r="J27" i="1"/>
  <c r="M27" i="1"/>
  <c r="G27" i="1"/>
  <c r="H27" i="1"/>
  <c r="I29" i="1"/>
  <c r="D27" i="1"/>
  <c r="O27" i="1"/>
  <c r="H31" i="1"/>
  <c r="M29" i="1"/>
  <c r="G29" i="1"/>
  <c r="L31" i="1"/>
  <c r="N31" i="1"/>
  <c r="M31" i="1"/>
  <c r="D31" i="1"/>
  <c r="K31" i="1"/>
  <c r="J31" i="1"/>
  <c r="I31" i="1"/>
  <c r="G31" i="1"/>
  <c r="F31" i="1"/>
  <c r="N28" i="1"/>
  <c r="L29" i="1"/>
  <c r="F27" i="1"/>
  <c r="E29" i="1"/>
  <c r="O29" i="1"/>
  <c r="N29" i="1"/>
  <c r="H26" i="1"/>
  <c r="P67" i="1"/>
  <c r="D32" i="1"/>
  <c r="E26" i="1"/>
  <c r="K26" i="1"/>
  <c r="F26" i="1"/>
  <c r="K29" i="1"/>
  <c r="J29" i="1"/>
  <c r="H29" i="1"/>
  <c r="F29" i="1"/>
  <c r="P70" i="1"/>
  <c r="L32" i="1"/>
  <c r="K32" i="1"/>
  <c r="I32" i="1"/>
  <c r="M32" i="1"/>
  <c r="H32" i="1"/>
  <c r="N32" i="1"/>
  <c r="G32" i="1"/>
  <c r="J32" i="1"/>
  <c r="F32" i="1"/>
  <c r="E32" i="1"/>
  <c r="D26" i="1"/>
  <c r="L28" i="1"/>
  <c r="J26" i="1"/>
  <c r="N26" i="1"/>
  <c r="I26" i="1"/>
  <c r="E28" i="1"/>
  <c r="J28" i="1"/>
  <c r="P58" i="1"/>
  <c r="P66" i="1"/>
  <c r="P56" i="1"/>
  <c r="K28" i="1"/>
  <c r="P72" i="1"/>
  <c r="M28" i="1"/>
  <c r="I28" i="1"/>
  <c r="D28" i="1"/>
  <c r="N73" i="1"/>
  <c r="P64" i="1"/>
  <c r="G28" i="1"/>
  <c r="O26" i="1"/>
  <c r="P68" i="1"/>
  <c r="P65" i="1"/>
  <c r="H73" i="1"/>
  <c r="F73" i="1"/>
  <c r="K73" i="1"/>
  <c r="M73" i="1"/>
  <c r="E73" i="1"/>
  <c r="J73" i="1"/>
  <c r="P63" i="1"/>
  <c r="P60" i="1"/>
  <c r="P57" i="1"/>
  <c r="H35" i="1"/>
  <c r="D73" i="1"/>
  <c r="G73" i="1"/>
  <c r="P71" i="1"/>
  <c r="P59" i="1"/>
  <c r="L26" i="1"/>
  <c r="P69" i="1"/>
  <c r="O35" i="1"/>
  <c r="D35" i="1"/>
  <c r="O73" i="1"/>
  <c r="F35" i="1"/>
  <c r="E35" i="1"/>
  <c r="L73" i="1"/>
  <c r="N35" i="1"/>
  <c r="M35" i="1"/>
  <c r="I73" i="1"/>
  <c r="P62" i="1"/>
  <c r="L35" i="1"/>
  <c r="P61" i="1"/>
  <c r="F28" i="1"/>
  <c r="K35" i="1"/>
  <c r="J35" i="1"/>
  <c r="M26" i="1"/>
  <c r="H28" i="1"/>
  <c r="I35" i="1"/>
  <c r="P36" i="1"/>
  <c r="T11" i="7"/>
  <c r="T12" i="7"/>
  <c r="R11" i="7"/>
  <c r="R13" i="7" s="1"/>
  <c r="D51" i="1"/>
  <c r="P51" i="1" s="1"/>
  <c r="S26" i="7" s="1"/>
  <c r="Y26" i="7" s="1"/>
  <c r="AF22" i="4"/>
  <c r="AF50" i="4"/>
  <c r="D50" i="4"/>
  <c r="D52" i="4" s="1"/>
  <c r="F50" i="4"/>
  <c r="F52" i="4" s="1"/>
  <c r="C41" i="1"/>
  <c r="P39" i="1"/>
  <c r="E18" i="1"/>
  <c r="F18" i="1"/>
  <c r="G18" i="1"/>
  <c r="H18" i="1"/>
  <c r="I18" i="1"/>
  <c r="J18" i="1"/>
  <c r="K18" i="1"/>
  <c r="L18" i="1"/>
  <c r="M18" i="1"/>
  <c r="N18" i="1"/>
  <c r="O18" i="1"/>
  <c r="D18" i="1"/>
  <c r="P22" i="1"/>
  <c r="P30" i="1"/>
  <c r="P27" i="1" l="1"/>
  <c r="S29" i="7"/>
  <c r="Y29" i="7" s="1"/>
  <c r="Y35" i="7" s="1"/>
  <c r="P29" i="1"/>
  <c r="T13" i="7"/>
  <c r="S17" i="7"/>
  <c r="P28" i="1"/>
  <c r="P73" i="1"/>
  <c r="P35" i="1"/>
  <c r="L41" i="1"/>
  <c r="L75" i="1" s="1"/>
  <c r="F41" i="1"/>
  <c r="F75" i="1" s="1"/>
  <c r="M41" i="1"/>
  <c r="M75" i="1" s="1"/>
  <c r="K41" i="1"/>
  <c r="K75" i="1" s="1"/>
  <c r="J41" i="1"/>
  <c r="J75" i="1" s="1"/>
  <c r="I41" i="1"/>
  <c r="I75" i="1" s="1"/>
  <c r="H41" i="1"/>
  <c r="H75" i="1" s="1"/>
  <c r="G41" i="1"/>
  <c r="G75" i="1" s="1"/>
  <c r="E41" i="1"/>
  <c r="D41" i="1"/>
  <c r="D75" i="1" s="1"/>
  <c r="P40" i="1"/>
  <c r="AH50" i="4"/>
  <c r="V52" i="4"/>
  <c r="AH22" i="4"/>
  <c r="V24" i="4"/>
  <c r="P15" i="1"/>
  <c r="P18" i="1"/>
  <c r="P16" i="1"/>
  <c r="P23" i="1"/>
  <c r="P31" i="1"/>
  <c r="P38" i="1"/>
  <c r="P32" i="1"/>
  <c r="P26" i="1"/>
  <c r="P25" i="1"/>
  <c r="P19" i="1"/>
  <c r="P17" i="1"/>
  <c r="P14" i="1"/>
  <c r="P9" i="1"/>
  <c r="P10" i="1"/>
  <c r="P8" i="1"/>
  <c r="E75" i="1" l="1"/>
  <c r="Y50" i="7"/>
  <c r="Y56" i="7" s="1"/>
  <c r="L8" i="7"/>
  <c r="E2" i="7" s="1"/>
  <c r="L14" i="7"/>
  <c r="O41" i="1"/>
  <c r="O75" i="1" s="1"/>
  <c r="Z52" i="4"/>
  <c r="V55" i="4"/>
  <c r="Z24" i="4"/>
  <c r="V27" i="4"/>
  <c r="L10" i="7" l="1"/>
  <c r="L36" i="7"/>
  <c r="L39" i="7" s="1"/>
  <c r="E5" i="7"/>
  <c r="P20" i="1"/>
  <c r="P41" i="1" s="1"/>
  <c r="N41" i="1"/>
  <c r="N75" i="1" s="1"/>
  <c r="AD52" i="4"/>
  <c r="Z55" i="4"/>
  <c r="AD24" i="4"/>
  <c r="Z27" i="4"/>
  <c r="E14" i="7" l="1"/>
  <c r="E11" i="7"/>
  <c r="E29" i="7"/>
  <c r="S23" i="7"/>
  <c r="S35" i="7" s="1"/>
  <c r="L2" i="7"/>
  <c r="P75" i="1"/>
  <c r="AH52" i="4"/>
  <c r="AH55" i="4" s="1"/>
  <c r="AD55" i="4"/>
  <c r="AH24" i="4"/>
  <c r="AH27" i="4" s="1"/>
  <c r="AD27" i="4"/>
  <c r="E36" i="7" l="1"/>
  <c r="E33" i="7"/>
  <c r="E39" i="7"/>
  <c r="E42" i="7" s="1"/>
  <c r="E45" i="7"/>
  <c r="E17" i="7"/>
  <c r="L4" i="7"/>
  <c r="L18" i="7"/>
  <c r="E8" i="7"/>
  <c r="E20" i="7" s="1"/>
  <c r="E26" i="7" l="1"/>
  <c r="AA3" i="7"/>
  <c r="E48" i="7"/>
  <c r="L21" i="7"/>
  <c r="L30" i="7"/>
  <c r="L33" i="7"/>
  <c r="L27" i="7"/>
  <c r="L24" i="7"/>
</calcChain>
</file>

<file path=xl/sharedStrings.xml><?xml version="1.0" encoding="utf-8"?>
<sst xmlns="http://schemas.openxmlformats.org/spreadsheetml/2006/main" count="648" uniqueCount="376">
  <si>
    <t>Наименование статьи расходов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</si>
  <si>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</si>
  <si>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</si>
  <si>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</si>
  <si>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</si>
  <si>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</si>
  <si>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</si>
  <si>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</si>
  <si>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</si>
  <si>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</si>
  <si>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</si>
  <si>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</si>
  <si>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</si>
  <si>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Год/итог</t>
  </si>
  <si>
    <t>Аренда помещения (склад/производство)</t>
  </si>
  <si>
    <t>Регистрация юр. Лица + доп расходы на оформление документов</t>
  </si>
  <si>
    <t>Регистрация продукции и получение всех документов</t>
  </si>
  <si>
    <t>ФОТ:</t>
  </si>
  <si>
    <t>Прим.</t>
  </si>
  <si>
    <t>Обозначение</t>
  </si>
  <si>
    <t>Размер</t>
  </si>
  <si>
    <t>Ширина по размеру (мм)</t>
  </si>
  <si>
    <t>Ширина по маркировке (мм)</t>
  </si>
  <si>
    <t>Обозначение по маркировке</t>
  </si>
  <si>
    <t>±6</t>
  </si>
  <si>
    <t>Допустимое отклонение (мм)</t>
  </si>
  <si>
    <t>XS</t>
  </si>
  <si>
    <t>S</t>
  </si>
  <si>
    <t>M</t>
  </si>
  <si>
    <t>Одноразмерные</t>
  </si>
  <si>
    <t>L</t>
  </si>
  <si>
    <t>XL</t>
  </si>
  <si>
    <t>Сверхмалые</t>
  </si>
  <si>
    <t>нет</t>
  </si>
  <si>
    <t>±10</t>
  </si>
  <si>
    <t>пальцы</t>
  </si>
  <si>
    <t>ладонь</t>
  </si>
  <si>
    <t>Длина, не менее (мм)</t>
  </si>
  <si>
    <t>Толщина, не менее (мм)</t>
  </si>
  <si>
    <t xml:space="preserve">Размер с учетом допустимых отклонений, попадающий между двумя размерами, может быть маркирован двумя размерами, например: малый средний, средний/большой и тд.
</t>
  </si>
  <si>
    <t>В соответствии с ГОСТ 32337 - 2013</t>
  </si>
  <si>
    <t>Код размера</t>
  </si>
  <si>
    <t>Номинальный размер</t>
  </si>
  <si>
    <t>Ширина W, мм</t>
  </si>
  <si>
    <t>Длина L, мм</t>
  </si>
  <si>
    <t>Толщина (пальцы, ладонь), мм</t>
  </si>
  <si>
    <t>Толщина (приблизительно, в центре ладони, мм</t>
  </si>
  <si>
    <t>Сверхмалые (XS)</t>
  </si>
  <si>
    <t>Малый (S)</t>
  </si>
  <si>
    <t>Средний (М)</t>
  </si>
  <si>
    <t>Большой (L)</t>
  </si>
  <si>
    <t>Сверхбольшой (XL)</t>
  </si>
  <si>
    <t>≥110</t>
  </si>
  <si>
    <t>110±5</t>
  </si>
  <si>
    <t>100±5</t>
  </si>
  <si>
    <t>95±5</t>
  </si>
  <si>
    <t>85±5</t>
  </si>
  <si>
    <t>80±5</t>
  </si>
  <si>
    <t>≤ 80</t>
  </si>
  <si>
    <t>≤ 6</t>
  </si>
  <si>
    <t>≥ 9</t>
  </si>
  <si>
    <t xml:space="preserve">0,08 - для гладких участков, </t>
  </si>
  <si>
    <t>2,00 - для гладких участков</t>
  </si>
  <si>
    <t>0,11 - для текстурированных участков</t>
  </si>
  <si>
    <t>2,03 - для текстурированных участков</t>
  </si>
  <si>
    <t xml:space="preserve">Значения физико-механических показателей </t>
  </si>
  <si>
    <t>До ускоренного старения</t>
  </si>
  <si>
    <t>После ускоренного старения</t>
  </si>
  <si>
    <t>Условная прочность, Мпа, не менее</t>
  </si>
  <si>
    <t>Относительное удлинение, %, не менее</t>
  </si>
  <si>
    <t>Размеры перчаток и допустимые отклонения</t>
  </si>
  <si>
    <t>Характеристика</t>
  </si>
  <si>
    <t>Значения для перчаток типа:</t>
  </si>
  <si>
    <t>Латексные</t>
  </si>
  <si>
    <t>Нитрильный латекс</t>
  </si>
  <si>
    <t>Усилия при разрыве до ускоренного старения, Н, не менее</t>
  </si>
  <si>
    <t>Удлинение при разрыве до ускоренного старения, %, не менее</t>
  </si>
  <si>
    <t>Усилия при разрыве после ускоренного старения, Н, не менее</t>
  </si>
  <si>
    <t>Удлинение при разрыве после ускоренного старения, %, не менее</t>
  </si>
  <si>
    <t>Материалы изготовления</t>
  </si>
  <si>
    <t>Перчатки изготовляют из смеси на основе натурального каучука или нитрильного латекса, или полихпоропренового латекса, или смеси на основе бутадиен-стирольного каучука, каучуковой эмульсии на основе сополимера бутадиен-стирола или раствора термоэластопласта. Для облегчения надевания перчаток может быть применена обработка поверхности, смазка, опудривание или полимерное покрытие при условии соответствия требованиям ГОСТ Р ИСО 10993-3, ГОСТ Р ИСО 10993-10, ГОСТ Р ИСО 10993-11, ГОСТ Р ИСО 10993— 13. Используемый краситель не должен быть токсичным. Вещества, используемые для обработки поверхности, должны быть биоразлагаемыми. Перчатки, готовые для поставки потребителю, должны соответствовать требованиям ГОСТ Р ИСО 10993-3, ГОСТ Р ИСО 10993-10, ГОСТ Р ИСО 10993-11, ГОСТ Р ИСО 10993-13. По запросу потребителя изготовитель должен предоставить данные, подтверждающие соответствие этим требованиям.</t>
  </si>
  <si>
    <t>Для изготовления перчаток, соответствующих требованиям настоящего стандарта, используются смеси на основе нитрильного латекса</t>
  </si>
  <si>
    <t>Уровни контроля и приемлемые уровни качества перчаток</t>
  </si>
  <si>
    <t>Показатель</t>
  </si>
  <si>
    <t>Определяемый дефект</t>
  </si>
  <si>
    <t>Уровень контроля</t>
  </si>
  <si>
    <t>Приемлемый уровень качества (AQL)</t>
  </si>
  <si>
    <t>Стерильность</t>
  </si>
  <si>
    <t>Отсутствие отверстий</t>
  </si>
  <si>
    <t>Размеры</t>
  </si>
  <si>
    <t>Физико-механические показатели</t>
  </si>
  <si>
    <t>Остаточное опудривающее вещество</t>
  </si>
  <si>
    <t>Количество опудривающего вещества</t>
  </si>
  <si>
    <t>Отсутствие стерильности</t>
  </si>
  <si>
    <t>Наличие отверстий</t>
  </si>
  <si>
    <t>Ширина, длина, толщина</t>
  </si>
  <si>
    <t>До и после ускоренного старения</t>
  </si>
  <si>
    <t>Превышает рекомедованный предел</t>
  </si>
  <si>
    <t>A</t>
  </si>
  <si>
    <t>G-1</t>
  </si>
  <si>
    <t>S-2</t>
  </si>
  <si>
    <t>N=5</t>
  </si>
  <si>
    <t>N=2</t>
  </si>
  <si>
    <t>N/A</t>
  </si>
  <si>
    <t>Нормативные ссылки</t>
  </si>
  <si>
    <t>ISO 2859-1</t>
  </si>
  <si>
    <t>Методы испытания резины. Старение в термостате с воздухообменом.</t>
  </si>
  <si>
    <t>Спецификация на резиновые диагностические перчатки.</t>
  </si>
  <si>
    <t>Процедуры выборочного контроля по альтернативному признаку.</t>
  </si>
  <si>
    <t>Метод определения остаточного опудривающего вещества в медицинских перчатках.</t>
  </si>
  <si>
    <t>Метод определения отверстий в медицинских перчатках.</t>
  </si>
  <si>
    <t>Методы испытания резин и термопластичных эластомеров. Растяжение.</t>
  </si>
  <si>
    <t>В соответствии с ГОСТ Р 52239 - 2004 (ISO 11193-1:2002)</t>
  </si>
  <si>
    <t>ГОСТ 270-75</t>
  </si>
  <si>
    <t>ГОСТ Р ISO 50779.1-99 (ISO 2859-1-99)</t>
  </si>
  <si>
    <t>ГОСТ Р ISO 15223-2002</t>
  </si>
  <si>
    <t>ГОСТ Р ISO 10993-13-99</t>
  </si>
  <si>
    <t>ГОСТ Р ISO 10993-11-99</t>
  </si>
  <si>
    <t>ГОСТ Р ISO 10993-10-99</t>
  </si>
  <si>
    <t>ГОСТ Р ISO 10993-3-99</t>
  </si>
  <si>
    <t>Резина. Метод определения упругопрочностных свойств при растяжении.</t>
  </si>
  <si>
    <t>ISO 188:1998</t>
  </si>
  <si>
    <t>ISO 4648:1991</t>
  </si>
  <si>
    <t>Изделия медицинские. Оценка биологического действия медицинских
изделий. Часть 3. Исследование генотоксичности, канцерогенности и токсического действия на репродуктивную функцию</t>
  </si>
  <si>
    <t>Изделия медицинские. Оценка биологического действия медицинских
изделий. Часть 10. Исследование раздражающего и сенсибилизирующего действия.</t>
  </si>
  <si>
    <t xml:space="preserve"> Медицинские изделия. Символы, применяемые при маркировании на
медицинских изделиях, этикетках и в сопроводительной документации.</t>
  </si>
  <si>
    <t>Изделия медицинские. Оценка биологического действия медицинских
изделий. Часть 13. Идентификация и количественное определение продуктов деструкции полимерных медицинских изделий.</t>
  </si>
  <si>
    <t>Изделия медицинские. Оценка биологического действия медицинских
изделий. Часть 11. Исследование общетоксического действия.</t>
  </si>
  <si>
    <t>Каучук вулканизованный или термопластичный. Испытания на ускоренное старение
и теплостойкость.</t>
  </si>
  <si>
    <t>Каучук вулканизованный или термопластичный. Определение размеров образцов
и изделий для испытаний.</t>
  </si>
  <si>
    <t>Статистические методы. Процедуры выборочного
контроля по альтернативному признаку. Часть 1. Планы выборочного контроля последовательных партий на основе приемлемого уровня качества AQL.</t>
  </si>
  <si>
    <t>Уровни контроля и допустимый уровень качества (AQL)</t>
  </si>
  <si>
    <t>Уровень качества (AQL)</t>
  </si>
  <si>
    <t>Размеры (длина, ширина, толщина)</t>
  </si>
  <si>
    <t>Гермеичность</t>
  </si>
  <si>
    <t>Усиление и удлинение в моменты разрыва (до и после ускоренного старения)</t>
  </si>
  <si>
    <t>В соответствии с ГОСТ Р 52238 - 2004 (ISO 10282:2002) Перчатки хирургические из каучукового латекса стерильные одноразовые</t>
  </si>
  <si>
    <t>Усиление и удлинение в моменты разрыва (до и после ускоренного старения), усиление при удлинении на 300% (до ускоренного старения)</t>
  </si>
  <si>
    <t>Размеры и допустимые отклонения</t>
  </si>
  <si>
    <t>Длина L, мм, не менее</t>
  </si>
  <si>
    <t>Толщина в местах измерения, мм, не менее</t>
  </si>
  <si>
    <t>67±4</t>
  </si>
  <si>
    <t>72±4</t>
  </si>
  <si>
    <t>77±5</t>
  </si>
  <si>
    <t>83±5</t>
  </si>
  <si>
    <t>89±5</t>
  </si>
  <si>
    <t>102±6</t>
  </si>
  <si>
    <t>108±6</t>
  </si>
  <si>
    <t>114±6</t>
  </si>
  <si>
    <t>121±6</t>
  </si>
  <si>
    <t>0,10 - для гладких участков;     0,13 - для текстурированных участков</t>
  </si>
  <si>
    <t>Характеристики растяжения</t>
  </si>
  <si>
    <t>Значения для типа перчаток</t>
  </si>
  <si>
    <t>латекс натурального каучука</t>
  </si>
  <si>
    <t>Усиление при разрыве до ускоренного старения, Н, не менее</t>
  </si>
  <si>
    <t>Усиление, необходимое для достижения удлинения на 300% до ускоренного старения, Н, не менее</t>
  </si>
  <si>
    <t>Усиление при разрыве после ускоренного старения, Н, не менее</t>
  </si>
  <si>
    <r>
      <t xml:space="preserve">Перчатки должны быть изготовлены из смеси на основе натурального латекса или нитрильного латекса, или полихлоропренового латекса, или раствора бутадиен-стирольного каучука, или раствора термоэластопласта, или смеси на основе бутадиен-стирольной каучуковой эмульсии. Для облегчения надевания перчаток могут быть применены обработка поверхности, смазка, пудра или полимерное
покрытие при условии соответствия требованиям ГОСТ Р ИСО 10993-3, ГОСТ Р ИСО 10993-10, ГОСТ Р ИСО 10993-11, ГОСТ Р ИСО 10993-13. Любой используемый краситель не должен быть токсичным. Вещества, используемые для обработки поверхности, должны быть биоразлагаемыми. Перчатки, готовые для поставки потребителю, должны соответствовать требованиям ГОСТ Р ИСО 10993-3, ГОСТ Р ИСО 10993-10, ГОСТ Р ИСО 10993-11, ГОСТ Р ИСО 10993-13. По запросу потребителя изготовитель должен предоставить данные, подтверждающие соответствие этим требованиям.
</t>
    </r>
    <r>
      <rPr>
        <b/>
        <sz val="10"/>
        <color theme="1"/>
        <rFont val="Calibri"/>
        <family val="2"/>
        <charset val="204"/>
        <scheme val="minor"/>
      </rPr>
      <t xml:space="preserve">Примечание </t>
    </r>
    <r>
      <rPr>
        <sz val="10"/>
        <color theme="1"/>
        <rFont val="Calibri"/>
        <family val="2"/>
        <scheme val="minor"/>
      </rPr>
      <t>— Для людей с аллергическими реакциями к определенным резиновым смесям следует
использовать перчатки из материала альтернативного состава.</t>
    </r>
  </si>
  <si>
    <t>В соответствии с ГОСТ 33074-2014 Перчатки диагностические полихлоропреновые</t>
  </si>
  <si>
    <t>ASTM D412</t>
  </si>
  <si>
    <t>ASTM D537</t>
  </si>
  <si>
    <t>ASTM D3578</t>
  </si>
  <si>
    <t>ASTM D3767</t>
  </si>
  <si>
    <t>ASTM D5151</t>
  </si>
  <si>
    <t>ASTM D6124</t>
  </si>
  <si>
    <t>ASTM D6319</t>
  </si>
  <si>
    <t>ASTM D6355</t>
  </si>
  <si>
    <t>ISO 2859-1:1999</t>
  </si>
  <si>
    <t>ASTM D573</t>
  </si>
  <si>
    <t>Стандартная практика для резины. Измерение размеров.</t>
  </si>
  <si>
    <t>Стандартный метод многократной кожной аллергическое пробы у человека на медицинские перчатки.</t>
  </si>
  <si>
    <t>Процедура выборочного контроля по качественным признакам. Часть 1. Планы выборочного контроля с указанием приемлемого уровня качества (AQL) для последовательного контроля партий.</t>
  </si>
  <si>
    <t>Стандартная спецификация на нитрильные диагностические перчатки медицинского назначения.</t>
  </si>
  <si>
    <t>Нестерильные</t>
  </si>
  <si>
    <t>Герметичность</t>
  </si>
  <si>
    <t>Несоответствие размерам (ширина, длина, толщина)</t>
  </si>
  <si>
    <t>Несоответствие показателей до и после ускоренного старения</t>
  </si>
  <si>
    <t>Фармакопея США</t>
  </si>
  <si>
    <t>Универсальный</t>
  </si>
  <si>
    <t>М</t>
  </si>
  <si>
    <t>XXL</t>
  </si>
  <si>
    <t>манжета</t>
  </si>
  <si>
    <t>min</t>
  </si>
  <si>
    <t>Размер с учетом допустимых отклонений, попадающий между двумя размерами, может быть маркирован двумя размерами, например: малый/средний, средний/большой и тд.</t>
  </si>
  <si>
    <t>Опудренные/неопудренные (положение)</t>
  </si>
  <si>
    <t>Опудренные</t>
  </si>
  <si>
    <t>Неопудренные</t>
  </si>
  <si>
    <t>Значение массы остаточного опудривающего вещества, определенное по ASTM D6124, должно соответствовать указанному в А.1.1.</t>
  </si>
  <si>
    <t>Значение массы остаточного опудривающего вещества, определенное по ASTM D6124, должно соответствовать указанному в А.1.2.</t>
  </si>
  <si>
    <t>Щелочная ванна</t>
  </si>
  <si>
    <t>Дисковая щетка</t>
  </si>
  <si>
    <t>Горизонтальная щетка</t>
  </si>
  <si>
    <t>Резервуар для горячей воды</t>
  </si>
  <si>
    <t>Резервуар с водой</t>
  </si>
  <si>
    <t>Кислотная ванна</t>
  </si>
  <si>
    <t>Зона погружения</t>
  </si>
  <si>
    <t>Резервуар с коагулятором</t>
  </si>
  <si>
    <t>Печь-коагулятор</t>
  </si>
  <si>
    <t>Емкость с материалом (нитрил/латекс)</t>
  </si>
  <si>
    <t>Печь для сушки материала</t>
  </si>
  <si>
    <t>Резервуар для выщелачивания</t>
  </si>
  <si>
    <t>Резервувр для нанесения покрытия</t>
  </si>
  <si>
    <t>Главная печь</t>
  </si>
  <si>
    <t>Резервуар с горячей водой</t>
  </si>
  <si>
    <t>Опудривание</t>
  </si>
  <si>
    <t>Сушильная камера</t>
  </si>
  <si>
    <t>Предварительный демонтаж</t>
  </si>
  <si>
    <t>Демонтаж с форм</t>
  </si>
  <si>
    <t>Упаковочная линия</t>
  </si>
  <si>
    <t>ПРОЦЕСС ПРОИЗВОДСТВА НИТРИЛОВЫХ/ЛАТЕКСНЫХ ПЕРЧАТОК ДО УПАКОВЫВАНИЯ</t>
  </si>
  <si>
    <t>Завивка (загиб) валика</t>
  </si>
  <si>
    <t>DY-180S</t>
  </si>
  <si>
    <t>Производительность (шт./час)</t>
  </si>
  <si>
    <t>Потребление газа (м3/час)</t>
  </si>
  <si>
    <t>Длина линии (м)</t>
  </si>
  <si>
    <t>Ширина линии (м)</t>
  </si>
  <si>
    <t>Высота линии (м)</t>
  </si>
  <si>
    <t>Длина цепи (м)</t>
  </si>
  <si>
    <t>DY-140</t>
  </si>
  <si>
    <t>Кол-во форм (шт.)</t>
  </si>
  <si>
    <t>DY-110</t>
  </si>
  <si>
    <t>кол-во</t>
  </si>
  <si>
    <t>Ген. Директор</t>
  </si>
  <si>
    <t>Бухгалтерия</t>
  </si>
  <si>
    <t xml:space="preserve">Кладовщики-грузчики цехов приемки и реализации </t>
  </si>
  <si>
    <t>Комплектовщик-упаковщик</t>
  </si>
  <si>
    <t>Охрана</t>
  </si>
  <si>
    <t>Уборщицы</t>
  </si>
  <si>
    <t>кол-во ед. (линии)</t>
  </si>
  <si>
    <t>Электромонтер-механик (электрик)</t>
  </si>
  <si>
    <t>Слесарь-сантехник</t>
  </si>
  <si>
    <t>Секретарь</t>
  </si>
  <si>
    <t>Маркетологи-специалисты</t>
  </si>
  <si>
    <t>Документарная организация:</t>
  </si>
  <si>
    <t>Менеджеры отдела продаж (общ + корп)</t>
  </si>
  <si>
    <t>Коммерческий. Директор АХО + эконом отдел (первый зам)</t>
  </si>
  <si>
    <t>Планово-экономический отдел</t>
  </si>
  <si>
    <t>Заведующий цеха реализации продукции (главный кладовщик-грузчик)</t>
  </si>
  <si>
    <t>Лаборанты-химики</t>
  </si>
  <si>
    <t>при 100%</t>
  </si>
  <si>
    <t>вып. Плана</t>
  </si>
  <si>
    <t>Юридический отдел (юристы + руководитель)</t>
  </si>
  <si>
    <t>Главный инженер-технолог</t>
  </si>
  <si>
    <t>Медсестра</t>
  </si>
  <si>
    <t>ЗАТРАТЫ НА ОБЕСПЕЧЕНИЕ (МАТЕРИАЛЬНО-ТЕХНИЧЕСКАЯ ЧАСТЬ)</t>
  </si>
  <si>
    <t>Наименование</t>
  </si>
  <si>
    <t>Кол-во</t>
  </si>
  <si>
    <t>Сумма затрат</t>
  </si>
  <si>
    <t>Итог (год)</t>
  </si>
  <si>
    <t>Январь берется как отправная точка, как месяц запуск производства (приблизительно)</t>
  </si>
  <si>
    <t>ИТОГО</t>
  </si>
  <si>
    <t>Кор./мес</t>
  </si>
  <si>
    <t>Кор./год</t>
  </si>
  <si>
    <t>Канцелярия (все отделы)</t>
  </si>
  <si>
    <t>Медкабинет</t>
  </si>
  <si>
    <t>DY-120</t>
  </si>
  <si>
    <t>DY-180</t>
  </si>
  <si>
    <t>Стоимость</t>
  </si>
  <si>
    <t>П/н</t>
  </si>
  <si>
    <t>Стоимость ед.</t>
  </si>
  <si>
    <t>Кол-во/час (шт.)</t>
  </si>
  <si>
    <t>Кол-во/день (шт.)</t>
  </si>
  <si>
    <t>Кол-во/мес. (шт.)</t>
  </si>
  <si>
    <t>Кол-во/год (шт.)</t>
  </si>
  <si>
    <t>Стоимость 1 ед., руб.</t>
  </si>
  <si>
    <t>Элекстричество (кВ/ч)</t>
  </si>
  <si>
    <t>Вода (м3)</t>
  </si>
  <si>
    <t>Природный газ (м3)</t>
  </si>
  <si>
    <t>Латекс бутадиен-нитрильный (кг)</t>
  </si>
  <si>
    <t>Потребление (ед)</t>
  </si>
  <si>
    <t>Цена общая (месяц), руб.</t>
  </si>
  <si>
    <t>Цена общая (год), руб.</t>
  </si>
  <si>
    <t>Наименование Ед.</t>
  </si>
  <si>
    <t>Потребление (среднедневная норма потреблоения), ед.</t>
  </si>
  <si>
    <t>Потребление(среднемесячная норма потребления), кг</t>
  </si>
  <si>
    <t>Диэтилдитиокарбамат цинка (кг)</t>
  </si>
  <si>
    <t>Оксид цинка (ZnO) (кг)</t>
  </si>
  <si>
    <t>Сера (кг)</t>
  </si>
  <si>
    <t>Антиоксидант №264 (кг)</t>
  </si>
  <si>
    <t>Диоксид титана (кг)</t>
  </si>
  <si>
    <t>Казеин (кг)</t>
  </si>
  <si>
    <t>Нитрат кальция (кг)</t>
  </si>
  <si>
    <t>Соляная кислота (кг)</t>
  </si>
  <si>
    <t>Гидроксид калия (кг)</t>
  </si>
  <si>
    <t>Бутиловый эфир ППГ-14 (пеногаситель), (кг)</t>
  </si>
  <si>
    <t>Внутренний изолятор (стеарат цинка) (кг)</t>
  </si>
  <si>
    <t>Полимерное (полиуретановое) покрытие внутренней части (кг)</t>
  </si>
  <si>
    <t>Красящий пигмент (кг)</t>
  </si>
  <si>
    <t>Кол-во линий</t>
  </si>
  <si>
    <t>Себестоимость 1 шт.</t>
  </si>
  <si>
    <t>Стоимость производства (цикл) DY-140</t>
  </si>
  <si>
    <t>ИТОГО:</t>
  </si>
  <si>
    <t>Вулканизаторы</t>
  </si>
  <si>
    <t>Операторы производственной линии</t>
  </si>
  <si>
    <t>Механики линии</t>
  </si>
  <si>
    <t>Техники линии</t>
  </si>
  <si>
    <t>ЗАТРАТЫ НА СЫРЬЕ ДЛЯ ПРОИЗВОДСТВА</t>
  </si>
  <si>
    <t>ЗАТРАТЫ НА ОТКРЫТИЕ, РЕГИСТРАЦИЮ И ФОТ.</t>
  </si>
  <si>
    <t>Типы линий</t>
  </si>
  <si>
    <t>Производственная линия</t>
  </si>
  <si>
    <t>Аренда спецтехники</t>
  </si>
  <si>
    <t>Переменные расходы</t>
  </si>
  <si>
    <t>ИТОГО (общая)</t>
  </si>
  <si>
    <t>себестоимость (пара)</t>
  </si>
  <si>
    <t>Себ-ть (уп-ка, 50 пар)</t>
  </si>
  <si>
    <t>Себ-ть (кор. 500 пар)</t>
  </si>
  <si>
    <t>Стоимость производства (цикл) DY-180</t>
  </si>
  <si>
    <t>Стоимость продажи 1 шт.</t>
  </si>
  <si>
    <t>пара</t>
  </si>
  <si>
    <t>уп-ка</t>
  </si>
  <si>
    <t>кор.</t>
  </si>
  <si>
    <t>Налог</t>
  </si>
  <si>
    <t>Валовая прибыль</t>
  </si>
  <si>
    <t>Помощник руководителя</t>
  </si>
  <si>
    <t>Главный бухгалтер</t>
  </si>
  <si>
    <t>Руководитель отдела продаж (общ + корп)</t>
  </si>
  <si>
    <t>Руководитель отдела маркетинга (второй зам)</t>
  </si>
  <si>
    <t>Руководитель производства (третий зам)</t>
  </si>
  <si>
    <t>Руководитель лаборатории (четвертый зам)</t>
  </si>
  <si>
    <t>Главврач производства</t>
  </si>
  <si>
    <t>Прибыль</t>
  </si>
  <si>
    <t>ROS (рентабельность продаж)</t>
  </si>
  <si>
    <t>ROFA (рентабельность основных производственных фондов)</t>
  </si>
  <si>
    <t>RCA (рентабельность оборотных активов)</t>
  </si>
  <si>
    <t>Чистая прибыль</t>
  </si>
  <si>
    <t>Себестоимость (год)</t>
  </si>
  <si>
    <t>ROA (Рентабельность активов)</t>
  </si>
  <si>
    <t>ROE (рентабельность капитала)</t>
  </si>
  <si>
    <t>ROI (рентабельность инвестиций)</t>
  </si>
  <si>
    <t>среднее арифм. Осн. Средств</t>
  </si>
  <si>
    <t>Коэфф. Оборотных активов</t>
  </si>
  <si>
    <t>Срок оборачиваемости (дни)</t>
  </si>
  <si>
    <t>Выручка от</t>
  </si>
  <si>
    <t>Выручка (от 1 ед.)</t>
  </si>
  <si>
    <t>себестоимость 1шт.</t>
  </si>
  <si>
    <t>Рабочие (8 чел.)</t>
  </si>
  <si>
    <t>Цена продажи с наценкой (ШТ.)</t>
  </si>
  <si>
    <t>Затраты с покупкой линии (год)</t>
  </si>
  <si>
    <t>Срок окупаемости (лет)</t>
  </si>
  <si>
    <t>Сумма инвестиций</t>
  </si>
  <si>
    <t>Затраты без покупки линии (год)</t>
  </si>
  <si>
    <t>ЗП производственной бригаде</t>
  </si>
  <si>
    <t>Цена продажи с наценкой (ПАРА.)</t>
  </si>
  <si>
    <t>Затраты ФОТ (год)</t>
  </si>
  <si>
    <t>Затраты на сырье (год)</t>
  </si>
  <si>
    <t>Затраты МТО (с покупкой линий), (год)</t>
  </si>
  <si>
    <t>Затраты МТО (без покупки линий), (год)</t>
  </si>
  <si>
    <t>Затраты бригаде при вып. (6 мес)</t>
  </si>
  <si>
    <t>Затраты на сырье при вып. (6 мес)</t>
  </si>
  <si>
    <t>Выручка при усл. выработки</t>
  </si>
  <si>
    <t>Прибыль при усл. выработки</t>
  </si>
  <si>
    <t>Чистая прибыль при</t>
  </si>
  <si>
    <t>Затраты на при усл. Вып.</t>
  </si>
  <si>
    <t>Рентабельность (Прибыль - Выручка) год</t>
  </si>
  <si>
    <t>Рентабельность (при неполной выработке)</t>
  </si>
  <si>
    <t>Налог при условии выполнения</t>
  </si>
  <si>
    <t>Срок окупаемости при (лет)</t>
  </si>
  <si>
    <t>Затраты МТО (6 мес)</t>
  </si>
  <si>
    <t>Затраты МТО без линии (6мес)</t>
  </si>
  <si>
    <t>Затраты на первые 6 мес (с линиями)</t>
  </si>
  <si>
    <t>Затраты 6мес без линий при</t>
  </si>
  <si>
    <t>НЕОБХОДИМЫЕ ПЕРВОНАЧАЛЬНЫЕ СРЕДСТВА</t>
  </si>
  <si>
    <t>Ед.</t>
  </si>
  <si>
    <t>Сумма</t>
  </si>
  <si>
    <t xml:space="preserve">Сырье </t>
  </si>
  <si>
    <t>3 мес</t>
  </si>
  <si>
    <t>Линия</t>
  </si>
  <si>
    <t>1 шт.</t>
  </si>
  <si>
    <t>Аренда</t>
  </si>
  <si>
    <t>ФОТ</t>
  </si>
  <si>
    <t>МТО</t>
  </si>
  <si>
    <t>Рег. Действия + пошлины</t>
  </si>
  <si>
    <t>2 шт.</t>
  </si>
  <si>
    <t>Упаковка</t>
  </si>
  <si>
    <t>Коэфф. рентабельности (при усл. Расч. мес.)</t>
  </si>
  <si>
    <t>DY-80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</si>
</sst>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₽&quot;"/>
    <numFmt numFmtId="166" formatCode="#,##0.00\ &quot;₽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67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4" fontId="1" fillId="19" borderId="0" xfId="0" applyNumberFormat="1" applyFont="1" applyFill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4" fontId="1" fillId="19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4" fontId="7" fillId="1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7" fillId="19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166" fontId="7" fillId="19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center" vertical="center" wrapText="1"/>
    </xf>
    <xf numFmtId="2" fontId="10" fillId="2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9" fontId="1" fillId="14" borderId="1" xfId="0" applyNumberFormat="1" applyFont="1" applyFill="1" applyBorder="1" applyAlignment="1">
      <alignment horizontal="center" vertical="center" wrapText="1"/>
    </xf>
    <xf numFmtId="166" fontId="1" fillId="14" borderId="1" xfId="0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9" fontId="1" fillId="25" borderId="1" xfId="0" applyNumberFormat="1" applyFont="1" applyFill="1" applyBorder="1" applyAlignment="1">
      <alignment horizontal="center" vertical="center" wrapText="1"/>
    </xf>
    <xf numFmtId="166" fontId="1" fillId="2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9" fontId="1" fillId="19" borderId="1" xfId="0" applyNumberFormat="1" applyFont="1" applyFill="1" applyBorder="1" applyAlignment="1">
      <alignment horizontal="center" vertical="center" wrapText="1"/>
    </xf>
    <xf numFmtId="166" fontId="1" fillId="19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9" fontId="1" fillId="8" borderId="12" xfId="0" applyNumberFormat="1" applyFont="1" applyFill="1" applyBorder="1" applyAlignment="1">
      <alignment horizontal="center" vertical="center" wrapText="1"/>
    </xf>
    <xf numFmtId="9" fontId="1" fillId="8" borderId="13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166" fontId="1" fillId="21" borderId="1" xfId="0" applyNumberFormat="1" applyFont="1" applyFill="1" applyBorder="1" applyAlignment="1">
      <alignment horizontal="center" vertical="center" wrapText="1"/>
    </xf>
    <xf numFmtId="166" fontId="1" fillId="2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166" fontId="1" fillId="23" borderId="1" xfId="0" applyNumberFormat="1" applyFont="1" applyFill="1" applyBorder="1" applyAlignment="1">
      <alignment horizontal="center" vertical="center" wrapText="1"/>
    </xf>
    <xf numFmtId="166" fontId="1" fillId="24" borderId="1" xfId="0" applyNumberFormat="1" applyFont="1" applyFill="1" applyBorder="1" applyAlignment="1">
      <alignment horizontal="center" vertical="center" wrapText="1"/>
    </xf>
    <xf numFmtId="2" fontId="1" fillId="24" borderId="1" xfId="0" applyNumberFormat="1" applyFont="1" applyFill="1" applyBorder="1" applyAlignment="1">
      <alignment horizontal="center" vertical="center" wrapText="1"/>
    </xf>
    <xf numFmtId="2" fontId="1" fillId="14" borderId="1" xfId="0" applyNumberFormat="1" applyFont="1" applyFill="1" applyBorder="1" applyAlignment="1">
      <alignment horizontal="center" vertical="center" wrapText="1"/>
    </xf>
    <xf numFmtId="166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6" borderId="10" xfId="0" applyNumberFormat="1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9" fontId="1" fillId="14" borderId="0" xfId="0" applyNumberFormat="1" applyFont="1" applyFill="1" applyAlignment="1">
      <alignment horizontal="center" vertical="center" wrapText="1"/>
    </xf>
    <xf numFmtId="166" fontId="1" fillId="14" borderId="0" xfId="0" applyNumberFormat="1" applyFont="1" applyFill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9" fontId="1" fillId="17" borderId="1" xfId="0" applyNumberFormat="1" applyFont="1" applyFill="1" applyBorder="1" applyAlignment="1">
      <alignment horizontal="center" vertical="center" wrapText="1"/>
    </xf>
    <xf numFmtId="164" fontId="1" fillId="17" borderId="1" xfId="0" applyNumberFormat="1" applyFont="1" applyFill="1" applyBorder="1" applyAlignment="1">
      <alignment horizontal="center" vertical="center" wrapText="1"/>
    </xf>
    <xf numFmtId="9" fontId="1" fillId="23" borderId="1" xfId="0" applyNumberFormat="1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166" fontId="1" fillId="19" borderId="5" xfId="0" applyNumberFormat="1" applyFont="1" applyFill="1" applyBorder="1" applyAlignment="1">
      <alignment horizontal="center" vertical="center" wrapText="1"/>
    </xf>
    <xf numFmtId="166" fontId="1" fillId="19" borderId="10" xfId="0" applyNumberFormat="1" applyFont="1" applyFill="1" applyBorder="1" applyAlignment="1">
      <alignment horizontal="center" vertical="center" wrapText="1"/>
    </xf>
    <xf numFmtId="166" fontId="1" fillId="19" borderId="6" xfId="0" applyNumberFormat="1" applyFont="1" applyFill="1" applyBorder="1" applyAlignment="1">
      <alignment horizontal="center" vertical="center" wrapText="1"/>
    </xf>
    <xf numFmtId="166" fontId="1" fillId="19" borderId="8" xfId="0" applyNumberFormat="1" applyFont="1" applyFill="1" applyBorder="1" applyAlignment="1">
      <alignment horizontal="center" vertical="center" wrapText="1"/>
    </xf>
    <xf numFmtId="166" fontId="1" fillId="19" borderId="11" xfId="0" applyNumberFormat="1" applyFont="1" applyFill="1" applyBorder="1" applyAlignment="1">
      <alignment horizontal="center" vertical="center" wrapText="1"/>
    </xf>
    <xf numFmtId="166" fontId="1" fillId="19" borderId="9" xfId="0" applyNumberFormat="1" applyFont="1" applyFill="1" applyBorder="1" applyAlignment="1">
      <alignment horizontal="center" vertical="center" wrapText="1"/>
    </xf>
    <xf numFmtId="9" fontId="1" fillId="19" borderId="12" xfId="0" applyNumberFormat="1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165" fontId="0" fillId="16" borderId="1" xfId="0" applyNumberForma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3" fontId="2" fillId="17" borderId="2" xfId="0" applyNumberFormat="1" applyFont="1" applyFill="1" applyBorder="1" applyAlignment="1">
      <alignment horizontal="center" vertical="center" wrapText="1"/>
    </xf>
    <xf numFmtId="3" fontId="2" fillId="17" borderId="3" xfId="0" applyNumberFormat="1" applyFont="1" applyFill="1" applyBorder="1" applyAlignment="1">
      <alignment horizontal="center" vertical="center" wrapText="1"/>
    </xf>
    <xf numFmtId="3" fontId="2" fillId="17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166" fontId="1" fillId="2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2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4" fontId="1" fillId="20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166" fontId="1" fillId="15" borderId="1" xfId="0" applyNumberFormat="1" applyFont="1" applyFill="1" applyBorder="1" applyAlignment="1">
      <alignment horizontal="center" vertical="center" wrapText="1"/>
    </xf>
    <xf numFmtId="2" fontId="1" fillId="15" borderId="1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17" borderId="2" xfId="0" applyNumberFormat="1" applyFont="1" applyFill="1" applyBorder="1" applyAlignment="1">
      <alignment horizontal="center" vertical="center" wrapText="1"/>
    </xf>
    <xf numFmtId="3" fontId="7" fillId="17" borderId="3" xfId="0" applyNumberFormat="1" applyFont="1" applyFill="1" applyBorder="1" applyAlignment="1">
      <alignment horizontal="center" vertical="center" wrapText="1"/>
    </xf>
    <xf numFmtId="3" fontId="7" fillId="17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165" fontId="1" fillId="16" borderId="5" xfId="0" applyNumberFormat="1" applyFont="1" applyFill="1" applyBorder="1" applyAlignment="1">
      <alignment horizontal="center" vertical="center" wrapText="1"/>
    </xf>
    <xf numFmtId="165" fontId="1" fillId="16" borderId="6" xfId="0" applyNumberFormat="1" applyFont="1" applyFill="1" applyBorder="1" applyAlignment="1">
      <alignment horizontal="center" vertical="center" wrapText="1"/>
    </xf>
    <xf numFmtId="165" fontId="1" fillId="16" borderId="1" xfId="0" applyNumberFormat="1" applyFont="1" applyFill="1" applyBorder="1" applyAlignment="1">
      <alignment horizontal="center" vertical="center" wrapText="1"/>
    </xf>
    <xf numFmtId="165" fontId="1" fillId="16" borderId="8" xfId="0" applyNumberFormat="1" applyFont="1" applyFill="1" applyBorder="1" applyAlignment="1">
      <alignment horizontal="center" vertical="center" wrapText="1"/>
    </xf>
    <xf numFmtId="165" fontId="1" fillId="16" borderId="9" xfId="0" applyNumberFormat="1" applyFont="1" applyFill="1" applyBorder="1" applyAlignment="1">
      <alignment horizontal="center" vertical="center" wrapText="1"/>
    </xf>
    <xf numFmtId="165" fontId="1" fillId="27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4AB0D"/>
      <color rgb="FFEF67E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95250</xdr:rowOff>
    </xdr:from>
    <xdr:to>
      <xdr:col>3</xdr:col>
      <xdr:colOff>447675</xdr:colOff>
      <xdr:row>3</xdr:row>
      <xdr:rowOff>285750</xdr:rowOff>
    </xdr:to>
    <xdr:sp macro="" textlink="">
      <xdr:nvSpPr>
        <xdr:cNvPr id="57" name="Стрелка вправо 56"/>
        <xdr:cNvSpPr/>
      </xdr:nvSpPr>
      <xdr:spPr>
        <a:xfrm>
          <a:off x="1981200" y="6667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152400</xdr:colOff>
      <xdr:row>3</xdr:row>
      <xdr:rowOff>104775</xdr:rowOff>
    </xdr:from>
    <xdr:to>
      <xdr:col>6</xdr:col>
      <xdr:colOff>447675</xdr:colOff>
      <xdr:row>3</xdr:row>
      <xdr:rowOff>295275</xdr:rowOff>
    </xdr:to>
    <xdr:sp macro="" textlink="">
      <xdr:nvSpPr>
        <xdr:cNvPr id="58" name="Стрелка вправо 57"/>
        <xdr:cNvSpPr/>
      </xdr:nvSpPr>
      <xdr:spPr>
        <a:xfrm>
          <a:off x="3810000" y="676275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152400</xdr:colOff>
      <xdr:row>3</xdr:row>
      <xdr:rowOff>95250</xdr:rowOff>
    </xdr:from>
    <xdr:to>
      <xdr:col>9</xdr:col>
      <xdr:colOff>447675</xdr:colOff>
      <xdr:row>3</xdr:row>
      <xdr:rowOff>285750</xdr:rowOff>
    </xdr:to>
    <xdr:sp macro="" textlink="">
      <xdr:nvSpPr>
        <xdr:cNvPr id="59" name="Стрелка вправо 58"/>
        <xdr:cNvSpPr/>
      </xdr:nvSpPr>
      <xdr:spPr>
        <a:xfrm>
          <a:off x="1981200" y="6667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152400</xdr:colOff>
      <xdr:row>3</xdr:row>
      <xdr:rowOff>95250</xdr:rowOff>
    </xdr:from>
    <xdr:to>
      <xdr:col>12</xdr:col>
      <xdr:colOff>447675</xdr:colOff>
      <xdr:row>3</xdr:row>
      <xdr:rowOff>285750</xdr:rowOff>
    </xdr:to>
    <xdr:sp macro="" textlink="">
      <xdr:nvSpPr>
        <xdr:cNvPr id="60" name="Стрелка вправо 59"/>
        <xdr:cNvSpPr/>
      </xdr:nvSpPr>
      <xdr:spPr>
        <a:xfrm>
          <a:off x="1981200" y="6667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171450</xdr:colOff>
      <xdr:row>10</xdr:row>
      <xdr:rowOff>180975</xdr:rowOff>
    </xdr:from>
    <xdr:to>
      <xdr:col>3</xdr:col>
      <xdr:colOff>476250</xdr:colOff>
      <xdr:row>11</xdr:row>
      <xdr:rowOff>190500</xdr:rowOff>
    </xdr:to>
    <xdr:sp macro="" textlink="">
      <xdr:nvSpPr>
        <xdr:cNvPr id="61" name="Стрелка вправо 60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171450</xdr:colOff>
      <xdr:row>10</xdr:row>
      <xdr:rowOff>180975</xdr:rowOff>
    </xdr:from>
    <xdr:to>
      <xdr:col>6</xdr:col>
      <xdr:colOff>476250</xdr:colOff>
      <xdr:row>11</xdr:row>
      <xdr:rowOff>190500</xdr:rowOff>
    </xdr:to>
    <xdr:sp macro="" textlink="">
      <xdr:nvSpPr>
        <xdr:cNvPr id="62" name="Стрелка вправо 61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171450</xdr:colOff>
      <xdr:row>10</xdr:row>
      <xdr:rowOff>180975</xdr:rowOff>
    </xdr:from>
    <xdr:to>
      <xdr:col>9</xdr:col>
      <xdr:colOff>476250</xdr:colOff>
      <xdr:row>11</xdr:row>
      <xdr:rowOff>190500</xdr:rowOff>
    </xdr:to>
    <xdr:sp macro="" textlink="">
      <xdr:nvSpPr>
        <xdr:cNvPr id="63" name="Стрелка вправо 62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171450</xdr:colOff>
      <xdr:row>10</xdr:row>
      <xdr:rowOff>180975</xdr:rowOff>
    </xdr:from>
    <xdr:to>
      <xdr:col>12</xdr:col>
      <xdr:colOff>476250</xdr:colOff>
      <xdr:row>11</xdr:row>
      <xdr:rowOff>190500</xdr:rowOff>
    </xdr:to>
    <xdr:sp macro="" textlink="">
      <xdr:nvSpPr>
        <xdr:cNvPr id="64" name="Стрелка вправо 63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171450</xdr:colOff>
      <xdr:row>18</xdr:row>
      <xdr:rowOff>180975</xdr:rowOff>
    </xdr:from>
    <xdr:to>
      <xdr:col>3</xdr:col>
      <xdr:colOff>476250</xdr:colOff>
      <xdr:row>19</xdr:row>
      <xdr:rowOff>190500</xdr:rowOff>
    </xdr:to>
    <xdr:sp macro="" textlink="">
      <xdr:nvSpPr>
        <xdr:cNvPr id="65" name="Стрелка вправо 64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171450</xdr:colOff>
      <xdr:row>18</xdr:row>
      <xdr:rowOff>180975</xdr:rowOff>
    </xdr:from>
    <xdr:to>
      <xdr:col>6</xdr:col>
      <xdr:colOff>476250</xdr:colOff>
      <xdr:row>19</xdr:row>
      <xdr:rowOff>190500</xdr:rowOff>
    </xdr:to>
    <xdr:sp macro="" textlink="">
      <xdr:nvSpPr>
        <xdr:cNvPr id="66" name="Стрелка вправо 65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130629</xdr:colOff>
      <xdr:row>18</xdr:row>
      <xdr:rowOff>180975</xdr:rowOff>
    </xdr:from>
    <xdr:to>
      <xdr:col>9</xdr:col>
      <xdr:colOff>435429</xdr:colOff>
      <xdr:row>19</xdr:row>
      <xdr:rowOff>190500</xdr:rowOff>
    </xdr:to>
    <xdr:sp macro="" textlink="">
      <xdr:nvSpPr>
        <xdr:cNvPr id="67" name="Стрелка вправо 66"/>
        <xdr:cNvSpPr/>
      </xdr:nvSpPr>
      <xdr:spPr>
        <a:xfrm>
          <a:off x="5641522" y="5651046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171450</xdr:colOff>
      <xdr:row>18</xdr:row>
      <xdr:rowOff>180975</xdr:rowOff>
    </xdr:from>
    <xdr:to>
      <xdr:col>12</xdr:col>
      <xdr:colOff>476250</xdr:colOff>
      <xdr:row>19</xdr:row>
      <xdr:rowOff>190500</xdr:rowOff>
    </xdr:to>
    <xdr:sp macro="" textlink="">
      <xdr:nvSpPr>
        <xdr:cNvPr id="68" name="Стрелка вправо 67"/>
        <xdr:cNvSpPr/>
      </xdr:nvSpPr>
      <xdr:spPr>
        <a:xfrm>
          <a:off x="2000250" y="2286000"/>
          <a:ext cx="3048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161925</xdr:colOff>
      <xdr:row>28</xdr:row>
      <xdr:rowOff>95250</xdr:rowOff>
    </xdr:from>
    <xdr:to>
      <xdr:col>3</xdr:col>
      <xdr:colOff>457200</xdr:colOff>
      <xdr:row>29</xdr:row>
      <xdr:rowOff>95250</xdr:rowOff>
    </xdr:to>
    <xdr:sp macro="" textlink="">
      <xdr:nvSpPr>
        <xdr:cNvPr id="73" name="Стрелка вправо 72"/>
        <xdr:cNvSpPr/>
      </xdr:nvSpPr>
      <xdr:spPr>
        <a:xfrm>
          <a:off x="1990725" y="58102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161925</xdr:colOff>
      <xdr:row>28</xdr:row>
      <xdr:rowOff>95250</xdr:rowOff>
    </xdr:from>
    <xdr:to>
      <xdr:col>6</xdr:col>
      <xdr:colOff>457200</xdr:colOff>
      <xdr:row>29</xdr:row>
      <xdr:rowOff>95250</xdr:rowOff>
    </xdr:to>
    <xdr:sp macro="" textlink="">
      <xdr:nvSpPr>
        <xdr:cNvPr id="74" name="Стрелка вправо 73"/>
        <xdr:cNvSpPr/>
      </xdr:nvSpPr>
      <xdr:spPr>
        <a:xfrm>
          <a:off x="1990725" y="58102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161925</xdr:colOff>
      <xdr:row>28</xdr:row>
      <xdr:rowOff>95250</xdr:rowOff>
    </xdr:from>
    <xdr:to>
      <xdr:col>9</xdr:col>
      <xdr:colOff>457200</xdr:colOff>
      <xdr:row>29</xdr:row>
      <xdr:rowOff>95250</xdr:rowOff>
    </xdr:to>
    <xdr:sp macro="" textlink="">
      <xdr:nvSpPr>
        <xdr:cNvPr id="75" name="Стрелка вправо 74"/>
        <xdr:cNvSpPr/>
      </xdr:nvSpPr>
      <xdr:spPr>
        <a:xfrm>
          <a:off x="1990725" y="58102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161925</xdr:colOff>
      <xdr:row>28</xdr:row>
      <xdr:rowOff>95250</xdr:rowOff>
    </xdr:from>
    <xdr:to>
      <xdr:col>12</xdr:col>
      <xdr:colOff>457200</xdr:colOff>
      <xdr:row>29</xdr:row>
      <xdr:rowOff>95250</xdr:rowOff>
    </xdr:to>
    <xdr:sp macro="" textlink="">
      <xdr:nvSpPr>
        <xdr:cNvPr id="76" name="Стрелка вправо 75"/>
        <xdr:cNvSpPr/>
      </xdr:nvSpPr>
      <xdr:spPr>
        <a:xfrm>
          <a:off x="1990725" y="581025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528638</xdr:colOff>
      <xdr:row>4</xdr:row>
      <xdr:rowOff>33338</xdr:rowOff>
    </xdr:from>
    <xdr:to>
      <xdr:col>14</xdr:col>
      <xdr:colOff>109538</xdr:colOff>
      <xdr:row>5</xdr:row>
      <xdr:rowOff>138113</xdr:rowOff>
    </xdr:to>
    <xdr:sp macro="" textlink="">
      <xdr:nvSpPr>
        <xdr:cNvPr id="77" name="Стрелка вправо 76"/>
        <xdr:cNvSpPr/>
      </xdr:nvSpPr>
      <xdr:spPr>
        <a:xfrm rot="5400000">
          <a:off x="8401050" y="1047751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138112</xdr:colOff>
      <xdr:row>6</xdr:row>
      <xdr:rowOff>90488</xdr:rowOff>
    </xdr:from>
    <xdr:to>
      <xdr:col>3</xdr:col>
      <xdr:colOff>433387</xdr:colOff>
      <xdr:row>7</xdr:row>
      <xdr:rowOff>90488</xdr:rowOff>
    </xdr:to>
    <xdr:sp macro="" textlink="">
      <xdr:nvSpPr>
        <xdr:cNvPr id="78" name="Стрелка вправо 77"/>
        <xdr:cNvSpPr/>
      </xdr:nvSpPr>
      <xdr:spPr>
        <a:xfrm rot="10800000">
          <a:off x="19669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138112</xdr:colOff>
      <xdr:row>6</xdr:row>
      <xdr:rowOff>90488</xdr:rowOff>
    </xdr:from>
    <xdr:to>
      <xdr:col>6</xdr:col>
      <xdr:colOff>433387</xdr:colOff>
      <xdr:row>7</xdr:row>
      <xdr:rowOff>90488</xdr:rowOff>
    </xdr:to>
    <xdr:sp macro="" textlink="">
      <xdr:nvSpPr>
        <xdr:cNvPr id="79" name="Стрелка вправо 78"/>
        <xdr:cNvSpPr/>
      </xdr:nvSpPr>
      <xdr:spPr>
        <a:xfrm rot="10800000">
          <a:off x="19669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138112</xdr:colOff>
      <xdr:row>6</xdr:row>
      <xdr:rowOff>90488</xdr:rowOff>
    </xdr:from>
    <xdr:to>
      <xdr:col>9</xdr:col>
      <xdr:colOff>433387</xdr:colOff>
      <xdr:row>7</xdr:row>
      <xdr:rowOff>90488</xdr:rowOff>
    </xdr:to>
    <xdr:sp macro="" textlink="">
      <xdr:nvSpPr>
        <xdr:cNvPr id="80" name="Стрелка вправо 79"/>
        <xdr:cNvSpPr/>
      </xdr:nvSpPr>
      <xdr:spPr>
        <a:xfrm rot="10800000">
          <a:off x="19669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138112</xdr:colOff>
      <xdr:row>6</xdr:row>
      <xdr:rowOff>90488</xdr:rowOff>
    </xdr:from>
    <xdr:to>
      <xdr:col>12</xdr:col>
      <xdr:colOff>433387</xdr:colOff>
      <xdr:row>7</xdr:row>
      <xdr:rowOff>90488</xdr:rowOff>
    </xdr:to>
    <xdr:sp macro="" textlink="">
      <xdr:nvSpPr>
        <xdr:cNvPr id="81" name="Стрелка вправо 80"/>
        <xdr:cNvSpPr/>
      </xdr:nvSpPr>
      <xdr:spPr>
        <a:xfrm rot="10800000">
          <a:off x="19669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528638</xdr:colOff>
      <xdr:row>8</xdr:row>
      <xdr:rowOff>33338</xdr:rowOff>
    </xdr:from>
    <xdr:to>
      <xdr:col>2</xdr:col>
      <xdr:colOff>109538</xdr:colOff>
      <xdr:row>9</xdr:row>
      <xdr:rowOff>138113</xdr:rowOff>
    </xdr:to>
    <xdr:sp macro="" textlink="">
      <xdr:nvSpPr>
        <xdr:cNvPr id="82" name="Стрелка вправо 81"/>
        <xdr:cNvSpPr/>
      </xdr:nvSpPr>
      <xdr:spPr>
        <a:xfrm rot="5400000">
          <a:off x="8401050" y="1047751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528638</xdr:colOff>
      <xdr:row>12</xdr:row>
      <xdr:rowOff>33338</xdr:rowOff>
    </xdr:from>
    <xdr:to>
      <xdr:col>14</xdr:col>
      <xdr:colOff>109538</xdr:colOff>
      <xdr:row>13</xdr:row>
      <xdr:rowOff>138113</xdr:rowOff>
    </xdr:to>
    <xdr:sp macro="" textlink="">
      <xdr:nvSpPr>
        <xdr:cNvPr id="83" name="Стрелка вправо 82"/>
        <xdr:cNvSpPr/>
      </xdr:nvSpPr>
      <xdr:spPr>
        <a:xfrm rot="5400000">
          <a:off x="8401050" y="1047751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528638</xdr:colOff>
      <xdr:row>16</xdr:row>
      <xdr:rowOff>155803</xdr:rowOff>
    </xdr:from>
    <xdr:to>
      <xdr:col>2</xdr:col>
      <xdr:colOff>109538</xdr:colOff>
      <xdr:row>17</xdr:row>
      <xdr:rowOff>260578</xdr:rowOff>
    </xdr:to>
    <xdr:sp macro="" textlink="">
      <xdr:nvSpPr>
        <xdr:cNvPr id="84" name="Стрелка вправо 83"/>
        <xdr:cNvSpPr/>
      </xdr:nvSpPr>
      <xdr:spPr>
        <a:xfrm rot="5400000">
          <a:off x="1089932" y="5091794"/>
          <a:ext cx="295275" cy="1932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528638</xdr:colOff>
      <xdr:row>26</xdr:row>
      <xdr:rowOff>19733</xdr:rowOff>
    </xdr:from>
    <xdr:to>
      <xdr:col>2</xdr:col>
      <xdr:colOff>109538</xdr:colOff>
      <xdr:row>27</xdr:row>
      <xdr:rowOff>70079</xdr:rowOff>
    </xdr:to>
    <xdr:sp macro="" textlink="">
      <xdr:nvSpPr>
        <xdr:cNvPr id="85" name="Стрелка вправо 84"/>
        <xdr:cNvSpPr/>
      </xdr:nvSpPr>
      <xdr:spPr>
        <a:xfrm rot="5400000">
          <a:off x="1089932" y="7255331"/>
          <a:ext cx="295275" cy="1932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515031</xdr:colOff>
      <xdr:row>20</xdr:row>
      <xdr:rowOff>155802</xdr:rowOff>
    </xdr:from>
    <xdr:to>
      <xdr:col>14</xdr:col>
      <xdr:colOff>95931</xdr:colOff>
      <xdr:row>22</xdr:row>
      <xdr:rowOff>70077</xdr:rowOff>
    </xdr:to>
    <xdr:sp macro="" textlink="">
      <xdr:nvSpPr>
        <xdr:cNvPr id="86" name="Стрелка вправо 85"/>
        <xdr:cNvSpPr/>
      </xdr:nvSpPr>
      <xdr:spPr>
        <a:xfrm rot="5400000">
          <a:off x="8424183" y="6248400"/>
          <a:ext cx="295275" cy="1932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152400</xdr:colOff>
      <xdr:row>15</xdr:row>
      <xdr:rowOff>0</xdr:rowOff>
    </xdr:from>
    <xdr:to>
      <xdr:col>12</xdr:col>
      <xdr:colOff>447675</xdr:colOff>
      <xdr:row>15</xdr:row>
      <xdr:rowOff>190500</xdr:rowOff>
    </xdr:to>
    <xdr:sp macro="" textlink="">
      <xdr:nvSpPr>
        <xdr:cNvPr id="87" name="Стрелка вправо 86"/>
        <xdr:cNvSpPr/>
      </xdr:nvSpPr>
      <xdr:spPr>
        <a:xfrm rot="10800000">
          <a:off x="7467600" y="323850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152400</xdr:colOff>
      <xdr:row>15</xdr:row>
      <xdr:rowOff>0</xdr:rowOff>
    </xdr:from>
    <xdr:to>
      <xdr:col>9</xdr:col>
      <xdr:colOff>447675</xdr:colOff>
      <xdr:row>15</xdr:row>
      <xdr:rowOff>190500</xdr:rowOff>
    </xdr:to>
    <xdr:sp macro="" textlink="">
      <xdr:nvSpPr>
        <xdr:cNvPr id="88" name="Стрелка вправо 87"/>
        <xdr:cNvSpPr/>
      </xdr:nvSpPr>
      <xdr:spPr>
        <a:xfrm rot="10800000">
          <a:off x="7467600" y="323850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152400</xdr:colOff>
      <xdr:row>15</xdr:row>
      <xdr:rowOff>0</xdr:rowOff>
    </xdr:from>
    <xdr:to>
      <xdr:col>6</xdr:col>
      <xdr:colOff>447675</xdr:colOff>
      <xdr:row>15</xdr:row>
      <xdr:rowOff>190500</xdr:rowOff>
    </xdr:to>
    <xdr:sp macro="" textlink="">
      <xdr:nvSpPr>
        <xdr:cNvPr id="89" name="Стрелка вправо 88"/>
        <xdr:cNvSpPr/>
      </xdr:nvSpPr>
      <xdr:spPr>
        <a:xfrm rot="10800000">
          <a:off x="7467600" y="323850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152400</xdr:colOff>
      <xdr:row>15</xdr:row>
      <xdr:rowOff>0</xdr:rowOff>
    </xdr:from>
    <xdr:to>
      <xdr:col>3</xdr:col>
      <xdr:colOff>447675</xdr:colOff>
      <xdr:row>15</xdr:row>
      <xdr:rowOff>190500</xdr:rowOff>
    </xdr:to>
    <xdr:sp macro="" textlink="">
      <xdr:nvSpPr>
        <xdr:cNvPr id="90" name="Стрелка вправо 89"/>
        <xdr:cNvSpPr/>
      </xdr:nvSpPr>
      <xdr:spPr>
        <a:xfrm rot="10800000">
          <a:off x="7467600" y="3238500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138112</xdr:colOff>
      <xdr:row>23</xdr:row>
      <xdr:rowOff>90488</xdr:rowOff>
    </xdr:from>
    <xdr:to>
      <xdr:col>12</xdr:col>
      <xdr:colOff>433387</xdr:colOff>
      <xdr:row>24</xdr:row>
      <xdr:rowOff>90488</xdr:rowOff>
    </xdr:to>
    <xdr:sp macro="" textlink="">
      <xdr:nvSpPr>
        <xdr:cNvPr id="91" name="Стрелка вправо 90"/>
        <xdr:cNvSpPr/>
      </xdr:nvSpPr>
      <xdr:spPr>
        <a:xfrm rot="10800000">
          <a:off x="74533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138112</xdr:colOff>
      <xdr:row>23</xdr:row>
      <xdr:rowOff>90488</xdr:rowOff>
    </xdr:from>
    <xdr:to>
      <xdr:col>9</xdr:col>
      <xdr:colOff>433387</xdr:colOff>
      <xdr:row>24</xdr:row>
      <xdr:rowOff>90488</xdr:rowOff>
    </xdr:to>
    <xdr:sp macro="" textlink="">
      <xdr:nvSpPr>
        <xdr:cNvPr id="92" name="Стрелка вправо 91"/>
        <xdr:cNvSpPr/>
      </xdr:nvSpPr>
      <xdr:spPr>
        <a:xfrm rot="10800000">
          <a:off x="74533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138112</xdr:colOff>
      <xdr:row>23</xdr:row>
      <xdr:rowOff>90488</xdr:rowOff>
    </xdr:from>
    <xdr:to>
      <xdr:col>6</xdr:col>
      <xdr:colOff>433387</xdr:colOff>
      <xdr:row>24</xdr:row>
      <xdr:rowOff>90488</xdr:rowOff>
    </xdr:to>
    <xdr:sp macro="" textlink="">
      <xdr:nvSpPr>
        <xdr:cNvPr id="93" name="Стрелка вправо 92"/>
        <xdr:cNvSpPr/>
      </xdr:nvSpPr>
      <xdr:spPr>
        <a:xfrm rot="10800000">
          <a:off x="74533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138112</xdr:colOff>
      <xdr:row>23</xdr:row>
      <xdr:rowOff>90488</xdr:rowOff>
    </xdr:from>
    <xdr:to>
      <xdr:col>3</xdr:col>
      <xdr:colOff>433387</xdr:colOff>
      <xdr:row>24</xdr:row>
      <xdr:rowOff>90488</xdr:rowOff>
    </xdr:to>
    <xdr:sp macro="" textlink="">
      <xdr:nvSpPr>
        <xdr:cNvPr id="94" name="Стрелка вправо 93"/>
        <xdr:cNvSpPr/>
      </xdr:nvSpPr>
      <xdr:spPr>
        <a:xfrm rot="10800000">
          <a:off x="7453312" y="1433513"/>
          <a:ext cx="2952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76"/>
  <sheetViews>
    <sheetView tabSelected="1" zoomScale="90" zoomScaleNormal="90" workbookViewId="0">
      <selection activeCell="E75" sqref="E75:E76"/>
    </sheetView>
  </sheetViews>
  <sheetFormatPr defaultRowHeight="12.75" x14ac:dyDescent="0.25"/>
  <cols>
    <col min="1" max="1" width="9.140625" style="1"/>
    <col min="2" max="2" width="41.42578125" style="1" customWidth="1"/>
    <col min="3" max="3" width="9.85546875" style="1" customWidth="1"/>
    <col min="4" max="4" width="22.28515625" style="32" customWidth="1"/>
    <col min="5" max="15" width="15.7109375" style="32" customWidth="1"/>
    <col min="16" max="16" width="17.140625" style="32" customWidth="1"/>
    <col min="17" max="16384" width="9.140625" style="1"/>
  </cols>
  <sheetData>
    <row r="3" spans="2:16" x14ac:dyDescent="0.25">
      <c r="D3" s="65" t="s">
        <v>249</v>
      </c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2:16" x14ac:dyDescent="0.25">
      <c r="M4" s="66"/>
      <c r="N4" s="66"/>
    </row>
    <row r="5" spans="2:16" ht="30" customHeight="1" x14ac:dyDescent="0.25">
      <c r="B5" s="72" t="s">
        <v>297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16" ht="30" customHeight="1" x14ac:dyDescent="0.25">
      <c r="B6" s="5" t="s">
        <v>0</v>
      </c>
      <c r="C6" s="5"/>
      <c r="D6" s="3" t="s">
        <v>1</v>
      </c>
      <c r="E6" s="3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2" t="s">
        <v>13</v>
      </c>
    </row>
    <row r="7" spans="2:16" ht="15" customHeight="1" x14ac:dyDescent="0.25">
      <c r="B7" s="5" t="s">
        <v>233</v>
      </c>
      <c r="C7" s="2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6" x14ac:dyDescent="0.25">
      <c r="B8" s="25" t="s">
        <v>14</v>
      </c>
      <c r="C8" s="25"/>
      <c r="D8" s="28">
        <v>5000000</v>
      </c>
      <c r="E8" s="28">
        <v>5000000</v>
      </c>
      <c r="F8" s="28">
        <v>5000000</v>
      </c>
      <c r="G8" s="28">
        <v>5000000</v>
      </c>
      <c r="H8" s="28">
        <v>5000000</v>
      </c>
      <c r="I8" s="28">
        <v>5000000</v>
      </c>
      <c r="J8" s="28">
        <v>5000000</v>
      </c>
      <c r="K8" s="28">
        <v>5000000</v>
      </c>
      <c r="L8" s="28">
        <v>5000000</v>
      </c>
      <c r="M8" s="28">
        <v>5000000</v>
      </c>
      <c r="N8" s="28">
        <v>5000000</v>
      </c>
      <c r="O8" s="28">
        <v>5000000</v>
      </c>
      <c r="P8" s="28">
        <f>SUM(D8:O8)</f>
        <v>60000000</v>
      </c>
    </row>
    <row r="9" spans="2:16" ht="25.5" x14ac:dyDescent="0.25">
      <c r="B9" s="25" t="s">
        <v>15</v>
      </c>
      <c r="C9" s="25"/>
      <c r="D9" s="28">
        <v>1000000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>
        <f>SUM(D9:O9)</f>
        <v>1000000</v>
      </c>
    </row>
    <row r="10" spans="2:16" ht="25.5" x14ac:dyDescent="0.25">
      <c r="B10" s="25" t="s">
        <v>16</v>
      </c>
      <c r="C10" s="25"/>
      <c r="D10" s="28">
        <f>10000000/12</f>
        <v>833333.33333333337</v>
      </c>
      <c r="E10" s="28">
        <f t="shared" ref="E10:O10" si="0">10000000/12</f>
        <v>833333.33333333337</v>
      </c>
      <c r="F10" s="28">
        <f t="shared" si="0"/>
        <v>833333.33333333337</v>
      </c>
      <c r="G10" s="28">
        <f t="shared" si="0"/>
        <v>833333.33333333337</v>
      </c>
      <c r="H10" s="28">
        <f t="shared" si="0"/>
        <v>833333.33333333337</v>
      </c>
      <c r="I10" s="28">
        <f t="shared" si="0"/>
        <v>833333.33333333337</v>
      </c>
      <c r="J10" s="28">
        <f t="shared" si="0"/>
        <v>833333.33333333337</v>
      </c>
      <c r="K10" s="28">
        <f t="shared" si="0"/>
        <v>833333.33333333337</v>
      </c>
      <c r="L10" s="28">
        <f t="shared" si="0"/>
        <v>833333.33333333337</v>
      </c>
      <c r="M10" s="28">
        <f t="shared" si="0"/>
        <v>833333.33333333337</v>
      </c>
      <c r="N10" s="28">
        <f t="shared" si="0"/>
        <v>833333.33333333337</v>
      </c>
      <c r="O10" s="28">
        <f t="shared" si="0"/>
        <v>833333.33333333337</v>
      </c>
      <c r="P10" s="28">
        <f>SUM(D10:O10)</f>
        <v>10000000</v>
      </c>
    </row>
    <row r="11" spans="2:16" x14ac:dyDescent="0.25">
      <c r="B11" s="26" t="s">
        <v>17</v>
      </c>
      <c r="C11" s="26" t="s">
        <v>221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2:16" x14ac:dyDescent="0.25">
      <c r="B12" s="27" t="s">
        <v>222</v>
      </c>
      <c r="C12" s="27">
        <v>1</v>
      </c>
      <c r="D12" s="28">
        <v>140000</v>
      </c>
      <c r="E12" s="28">
        <v>140000</v>
      </c>
      <c r="F12" s="28">
        <v>140000</v>
      </c>
      <c r="G12" s="28">
        <v>140000</v>
      </c>
      <c r="H12" s="28">
        <v>140000</v>
      </c>
      <c r="I12" s="28">
        <v>140000</v>
      </c>
      <c r="J12" s="28">
        <v>140000</v>
      </c>
      <c r="K12" s="28">
        <v>140000</v>
      </c>
      <c r="L12" s="28">
        <v>140000</v>
      </c>
      <c r="M12" s="28">
        <v>140000</v>
      </c>
      <c r="N12" s="28">
        <v>140000</v>
      </c>
      <c r="O12" s="28">
        <v>140000</v>
      </c>
      <c r="P12" s="28">
        <f>SUM(D12:O12)*C12</f>
        <v>1680000</v>
      </c>
    </row>
    <row r="13" spans="2:16" x14ac:dyDescent="0.25">
      <c r="B13" s="27" t="s">
        <v>313</v>
      </c>
      <c r="C13" s="27">
        <v>1</v>
      </c>
      <c r="D13" s="28">
        <v>40000</v>
      </c>
      <c r="E13" s="28">
        <v>40000</v>
      </c>
      <c r="F13" s="28">
        <v>40000</v>
      </c>
      <c r="G13" s="28">
        <v>40000</v>
      </c>
      <c r="H13" s="28">
        <v>40000</v>
      </c>
      <c r="I13" s="28">
        <v>40000</v>
      </c>
      <c r="J13" s="28">
        <v>40000</v>
      </c>
      <c r="K13" s="28">
        <v>40000</v>
      </c>
      <c r="L13" s="28">
        <v>40000</v>
      </c>
      <c r="M13" s="28">
        <v>40000</v>
      </c>
      <c r="N13" s="28">
        <v>40000</v>
      </c>
      <c r="O13" s="28">
        <v>40000</v>
      </c>
      <c r="P13" s="28">
        <f>SUM(D13:O13)*C13</f>
        <v>480000</v>
      </c>
    </row>
    <row r="14" spans="2:16" ht="25.5" x14ac:dyDescent="0.25">
      <c r="B14" s="30" t="s">
        <v>235</v>
      </c>
      <c r="C14" s="27">
        <v>1</v>
      </c>
      <c r="D14" s="28">
        <v>100000</v>
      </c>
      <c r="E14" s="28">
        <v>100000</v>
      </c>
      <c r="F14" s="28">
        <v>100000</v>
      </c>
      <c r="G14" s="28">
        <v>100000</v>
      </c>
      <c r="H14" s="28">
        <v>100000</v>
      </c>
      <c r="I14" s="28">
        <v>100000</v>
      </c>
      <c r="J14" s="28">
        <v>100000</v>
      </c>
      <c r="K14" s="28">
        <v>100000</v>
      </c>
      <c r="L14" s="28">
        <v>100000</v>
      </c>
      <c r="M14" s="28">
        <v>100000</v>
      </c>
      <c r="N14" s="28">
        <v>100000</v>
      </c>
      <c r="O14" s="28">
        <v>100000</v>
      </c>
      <c r="P14" s="28">
        <f t="shared" ref="P14:P40" si="1">SUM(D14:O14)</f>
        <v>1200000</v>
      </c>
    </row>
    <row r="15" spans="2:16" x14ac:dyDescent="0.25">
      <c r="B15" s="27" t="s">
        <v>236</v>
      </c>
      <c r="C15" s="27">
        <v>3</v>
      </c>
      <c r="D15" s="28">
        <f>45000*3</f>
        <v>135000</v>
      </c>
      <c r="E15" s="28">
        <f t="shared" ref="E15:O15" si="2">45000*3</f>
        <v>135000</v>
      </c>
      <c r="F15" s="28">
        <f t="shared" si="2"/>
        <v>135000</v>
      </c>
      <c r="G15" s="28">
        <f t="shared" si="2"/>
        <v>135000</v>
      </c>
      <c r="H15" s="28">
        <f t="shared" si="2"/>
        <v>135000</v>
      </c>
      <c r="I15" s="28">
        <f t="shared" si="2"/>
        <v>135000</v>
      </c>
      <c r="J15" s="28">
        <f t="shared" si="2"/>
        <v>135000</v>
      </c>
      <c r="K15" s="28">
        <f t="shared" si="2"/>
        <v>135000</v>
      </c>
      <c r="L15" s="28">
        <f t="shared" si="2"/>
        <v>135000</v>
      </c>
      <c r="M15" s="28">
        <f t="shared" si="2"/>
        <v>135000</v>
      </c>
      <c r="N15" s="28">
        <f t="shared" si="2"/>
        <v>135000</v>
      </c>
      <c r="O15" s="28">
        <f t="shared" si="2"/>
        <v>135000</v>
      </c>
      <c r="P15" s="28">
        <f t="shared" si="1"/>
        <v>1620000</v>
      </c>
    </row>
    <row r="16" spans="2:16" x14ac:dyDescent="0.25">
      <c r="B16" s="27" t="s">
        <v>231</v>
      </c>
      <c r="C16" s="27">
        <v>1</v>
      </c>
      <c r="D16" s="28">
        <f>35000</f>
        <v>35000</v>
      </c>
      <c r="E16" s="28">
        <f>35000</f>
        <v>35000</v>
      </c>
      <c r="F16" s="28">
        <f>35000</f>
        <v>35000</v>
      </c>
      <c r="G16" s="28">
        <f>35000</f>
        <v>35000</v>
      </c>
      <c r="H16" s="28">
        <f>35000</f>
        <v>35000</v>
      </c>
      <c r="I16" s="28">
        <f>35000</f>
        <v>35000</v>
      </c>
      <c r="J16" s="28">
        <f>35000</f>
        <v>35000</v>
      </c>
      <c r="K16" s="28">
        <f>35000</f>
        <v>35000</v>
      </c>
      <c r="L16" s="28">
        <f>35000</f>
        <v>35000</v>
      </c>
      <c r="M16" s="28">
        <f>35000</f>
        <v>35000</v>
      </c>
      <c r="N16" s="28">
        <f>35000</f>
        <v>35000</v>
      </c>
      <c r="O16" s="28">
        <f>35000</f>
        <v>35000</v>
      </c>
      <c r="P16" s="28">
        <f t="shared" si="1"/>
        <v>420000</v>
      </c>
    </row>
    <row r="17" spans="2:18" x14ac:dyDescent="0.25">
      <c r="B17" s="27" t="s">
        <v>315</v>
      </c>
      <c r="C17" s="27">
        <v>1</v>
      </c>
      <c r="D17" s="28">
        <v>80000</v>
      </c>
      <c r="E17" s="28">
        <v>80000</v>
      </c>
      <c r="F17" s="28">
        <v>80000</v>
      </c>
      <c r="G17" s="28">
        <v>80000</v>
      </c>
      <c r="H17" s="28">
        <v>80000</v>
      </c>
      <c r="I17" s="28">
        <v>80000</v>
      </c>
      <c r="J17" s="28">
        <v>80000</v>
      </c>
      <c r="K17" s="28">
        <v>80000</v>
      </c>
      <c r="L17" s="28">
        <v>80000</v>
      </c>
      <c r="M17" s="28">
        <v>80000</v>
      </c>
      <c r="N17" s="28">
        <v>80000</v>
      </c>
      <c r="O17" s="28">
        <v>80000</v>
      </c>
      <c r="P17" s="28">
        <f t="shared" si="1"/>
        <v>960000</v>
      </c>
    </row>
    <row r="18" spans="2:18" ht="25.5" x14ac:dyDescent="0.25">
      <c r="B18" s="27" t="s">
        <v>234</v>
      </c>
      <c r="C18" s="27">
        <v>10</v>
      </c>
      <c r="D18" s="28">
        <f>80000*10</f>
        <v>800000</v>
      </c>
      <c r="E18" s="28">
        <f t="shared" ref="E18:O18" si="3">80000*10</f>
        <v>800000</v>
      </c>
      <c r="F18" s="28">
        <f t="shared" si="3"/>
        <v>800000</v>
      </c>
      <c r="G18" s="28">
        <f t="shared" si="3"/>
        <v>800000</v>
      </c>
      <c r="H18" s="28">
        <f t="shared" si="3"/>
        <v>800000</v>
      </c>
      <c r="I18" s="28">
        <f t="shared" si="3"/>
        <v>800000</v>
      </c>
      <c r="J18" s="28">
        <f t="shared" si="3"/>
        <v>800000</v>
      </c>
      <c r="K18" s="28">
        <f t="shared" si="3"/>
        <v>800000</v>
      </c>
      <c r="L18" s="28">
        <f t="shared" si="3"/>
        <v>800000</v>
      </c>
      <c r="M18" s="28">
        <f t="shared" si="3"/>
        <v>800000</v>
      </c>
      <c r="N18" s="28">
        <f t="shared" si="3"/>
        <v>800000</v>
      </c>
      <c r="O18" s="28">
        <f t="shared" si="3"/>
        <v>800000</v>
      </c>
      <c r="P18" s="28">
        <f t="shared" si="1"/>
        <v>9600000</v>
      </c>
      <c r="Q18" s="1" t="s">
        <v>239</v>
      </c>
      <c r="R18" s="1" t="s">
        <v>240</v>
      </c>
    </row>
    <row r="19" spans="2:18" x14ac:dyDescent="0.25">
      <c r="B19" s="27" t="s">
        <v>314</v>
      </c>
      <c r="C19" s="27">
        <v>1</v>
      </c>
      <c r="D19" s="28">
        <v>50000</v>
      </c>
      <c r="E19" s="28">
        <v>50000</v>
      </c>
      <c r="F19" s="28">
        <v>50000</v>
      </c>
      <c r="G19" s="28">
        <v>50000</v>
      </c>
      <c r="H19" s="28">
        <v>50000</v>
      </c>
      <c r="I19" s="28">
        <v>50000</v>
      </c>
      <c r="J19" s="28">
        <v>50000</v>
      </c>
      <c r="K19" s="28">
        <v>50000</v>
      </c>
      <c r="L19" s="28">
        <v>50000</v>
      </c>
      <c r="M19" s="28">
        <v>50000</v>
      </c>
      <c r="N19" s="28">
        <v>50000</v>
      </c>
      <c r="O19" s="28">
        <v>50000</v>
      </c>
      <c r="P19" s="28">
        <f t="shared" si="1"/>
        <v>600000</v>
      </c>
    </row>
    <row r="20" spans="2:18" x14ac:dyDescent="0.25">
      <c r="B20" s="27" t="s">
        <v>223</v>
      </c>
      <c r="C20" s="27">
        <v>3</v>
      </c>
      <c r="D20" s="28">
        <f>45000*C20</f>
        <v>135000</v>
      </c>
      <c r="E20" s="28">
        <f>45000*C20</f>
        <v>135000</v>
      </c>
      <c r="F20" s="28">
        <f>45000*C20</f>
        <v>135000</v>
      </c>
      <c r="G20" s="28">
        <f>45000*C20</f>
        <v>135000</v>
      </c>
      <c r="H20" s="28">
        <f>45000*C20</f>
        <v>135000</v>
      </c>
      <c r="I20" s="28">
        <f>45000*C20</f>
        <v>135000</v>
      </c>
      <c r="J20" s="28">
        <f>45000*C20</f>
        <v>135000</v>
      </c>
      <c r="K20" s="28">
        <f>45000*C20</f>
        <v>135000</v>
      </c>
      <c r="L20" s="28">
        <f>45000*C20</f>
        <v>135000</v>
      </c>
      <c r="M20" s="28">
        <f>45000*C20</f>
        <v>135000</v>
      </c>
      <c r="N20" s="28">
        <f>45000*C20</f>
        <v>135000</v>
      </c>
      <c r="O20" s="28">
        <f>45000*C20</f>
        <v>135000</v>
      </c>
      <c r="P20" s="28">
        <f t="shared" si="1"/>
        <v>1620000</v>
      </c>
    </row>
    <row r="21" spans="2:18" x14ac:dyDescent="0.25">
      <c r="B21" s="27" t="s">
        <v>241</v>
      </c>
      <c r="C21" s="27">
        <v>3</v>
      </c>
      <c r="D21" s="28">
        <f>(50000*2)+60000</f>
        <v>160000</v>
      </c>
      <c r="E21" s="28">
        <f t="shared" ref="E21:O21" si="4">(50000*2)+60000</f>
        <v>160000</v>
      </c>
      <c r="F21" s="28">
        <f t="shared" si="4"/>
        <v>160000</v>
      </c>
      <c r="G21" s="28">
        <f t="shared" si="4"/>
        <v>160000</v>
      </c>
      <c r="H21" s="28">
        <f t="shared" si="4"/>
        <v>160000</v>
      </c>
      <c r="I21" s="28">
        <f t="shared" si="4"/>
        <v>160000</v>
      </c>
      <c r="J21" s="28">
        <f t="shared" si="4"/>
        <v>160000</v>
      </c>
      <c r="K21" s="28">
        <f>(50000*2)+60000</f>
        <v>160000</v>
      </c>
      <c r="L21" s="28">
        <f t="shared" si="4"/>
        <v>160000</v>
      </c>
      <c r="M21" s="28">
        <f t="shared" si="4"/>
        <v>160000</v>
      </c>
      <c r="N21" s="28">
        <f t="shared" si="4"/>
        <v>160000</v>
      </c>
      <c r="O21" s="28">
        <f t="shared" si="4"/>
        <v>160000</v>
      </c>
      <c r="P21" s="28">
        <f t="shared" ref="P21" si="5">SUM(D21:O21)</f>
        <v>1920000</v>
      </c>
    </row>
    <row r="22" spans="2:18" x14ac:dyDescent="0.25">
      <c r="B22" s="30" t="s">
        <v>316</v>
      </c>
      <c r="C22" s="27">
        <v>1</v>
      </c>
      <c r="D22" s="28">
        <v>55000</v>
      </c>
      <c r="E22" s="28">
        <v>55000</v>
      </c>
      <c r="F22" s="28">
        <v>55000</v>
      </c>
      <c r="G22" s="28">
        <v>55000</v>
      </c>
      <c r="H22" s="28">
        <v>55000</v>
      </c>
      <c r="I22" s="28">
        <v>55000</v>
      </c>
      <c r="J22" s="28">
        <v>55000</v>
      </c>
      <c r="K22" s="28">
        <v>55000</v>
      </c>
      <c r="L22" s="28">
        <v>55000</v>
      </c>
      <c r="M22" s="28">
        <v>55000</v>
      </c>
      <c r="N22" s="28">
        <v>55000</v>
      </c>
      <c r="O22" s="28">
        <v>55000</v>
      </c>
      <c r="P22" s="28">
        <f t="shared" si="1"/>
        <v>660000</v>
      </c>
    </row>
    <row r="23" spans="2:18" x14ac:dyDescent="0.25">
      <c r="B23" s="27" t="s">
        <v>232</v>
      </c>
      <c r="C23" s="27">
        <v>3</v>
      </c>
      <c r="D23" s="28">
        <f>45000*3</f>
        <v>135000</v>
      </c>
      <c r="E23" s="28">
        <f t="shared" ref="E23:O23" si="6">45000*3</f>
        <v>135000</v>
      </c>
      <c r="F23" s="28">
        <f t="shared" si="6"/>
        <v>135000</v>
      </c>
      <c r="G23" s="28">
        <f t="shared" si="6"/>
        <v>135000</v>
      </c>
      <c r="H23" s="28">
        <f t="shared" si="6"/>
        <v>135000</v>
      </c>
      <c r="I23" s="28">
        <f t="shared" si="6"/>
        <v>135000</v>
      </c>
      <c r="J23" s="28">
        <f t="shared" si="6"/>
        <v>135000</v>
      </c>
      <c r="K23" s="28">
        <f t="shared" si="6"/>
        <v>135000</v>
      </c>
      <c r="L23" s="28">
        <f t="shared" si="6"/>
        <v>135000</v>
      </c>
      <c r="M23" s="28">
        <f t="shared" si="6"/>
        <v>135000</v>
      </c>
      <c r="N23" s="28">
        <f t="shared" si="6"/>
        <v>135000</v>
      </c>
      <c r="O23" s="28">
        <f t="shared" si="6"/>
        <v>135000</v>
      </c>
      <c r="P23" s="28">
        <f t="shared" si="1"/>
        <v>1620000</v>
      </c>
    </row>
    <row r="24" spans="2:18" x14ac:dyDescent="0.25">
      <c r="B24" s="30" t="s">
        <v>317</v>
      </c>
      <c r="C24" s="27">
        <v>1</v>
      </c>
      <c r="D24" s="28">
        <v>80000</v>
      </c>
      <c r="E24" s="28">
        <v>80000</v>
      </c>
      <c r="F24" s="28">
        <v>80000</v>
      </c>
      <c r="G24" s="28">
        <v>80000</v>
      </c>
      <c r="H24" s="28">
        <v>80000</v>
      </c>
      <c r="I24" s="28">
        <v>80000</v>
      </c>
      <c r="J24" s="28">
        <v>80000</v>
      </c>
      <c r="K24" s="28">
        <v>80000</v>
      </c>
      <c r="L24" s="28">
        <v>80000</v>
      </c>
      <c r="M24" s="28">
        <v>80000</v>
      </c>
      <c r="N24" s="28">
        <v>80000</v>
      </c>
      <c r="O24" s="28">
        <v>80000</v>
      </c>
      <c r="P24" s="28">
        <f t="shared" ref="P24" si="7">SUM(D24:O24)</f>
        <v>960000</v>
      </c>
    </row>
    <row r="25" spans="2:18" x14ac:dyDescent="0.25">
      <c r="B25" s="27" t="s">
        <v>242</v>
      </c>
      <c r="C25" s="27">
        <v>1</v>
      </c>
      <c r="D25" s="28">
        <v>70000</v>
      </c>
      <c r="E25" s="28">
        <v>70000</v>
      </c>
      <c r="F25" s="28">
        <v>70000</v>
      </c>
      <c r="G25" s="28">
        <v>70000</v>
      </c>
      <c r="H25" s="28">
        <v>70000</v>
      </c>
      <c r="I25" s="28">
        <v>70000</v>
      </c>
      <c r="J25" s="28">
        <v>70000</v>
      </c>
      <c r="K25" s="28">
        <v>70000</v>
      </c>
      <c r="L25" s="28">
        <v>70000</v>
      </c>
      <c r="M25" s="28">
        <v>70000</v>
      </c>
      <c r="N25" s="28">
        <v>70000</v>
      </c>
      <c r="O25" s="28">
        <v>70000</v>
      </c>
      <c r="P25" s="28">
        <f t="shared" si="1"/>
        <v>840000</v>
      </c>
    </row>
    <row r="26" spans="2:18" x14ac:dyDescent="0.25">
      <c r="B26" s="27" t="s">
        <v>295</v>
      </c>
      <c r="C26" s="27">
        <f>2*Q45</f>
        <v>4</v>
      </c>
      <c r="D26" s="28">
        <f>50000*C26</f>
        <v>200000</v>
      </c>
      <c r="E26" s="28">
        <f>50000*C26</f>
        <v>200000</v>
      </c>
      <c r="F26" s="28">
        <f>50000*C26</f>
        <v>200000</v>
      </c>
      <c r="G26" s="28">
        <f>50000*C26</f>
        <v>200000</v>
      </c>
      <c r="H26" s="28">
        <f>50000*C26</f>
        <v>200000</v>
      </c>
      <c r="I26" s="28">
        <f>50000*C26</f>
        <v>200000</v>
      </c>
      <c r="J26" s="28">
        <f>50000*C26</f>
        <v>200000</v>
      </c>
      <c r="K26" s="28">
        <f>50000*C26</f>
        <v>200000</v>
      </c>
      <c r="L26" s="28">
        <f>50000*C26</f>
        <v>200000</v>
      </c>
      <c r="M26" s="28">
        <f>50000*C26</f>
        <v>200000</v>
      </c>
      <c r="N26" s="28">
        <f>50000*C26</f>
        <v>200000</v>
      </c>
      <c r="O26" s="28">
        <f>50000*C26</f>
        <v>200000</v>
      </c>
      <c r="P26" s="28">
        <f t="shared" si="1"/>
        <v>2400000</v>
      </c>
    </row>
    <row r="27" spans="2:18" x14ac:dyDescent="0.25">
      <c r="B27" s="27" t="s">
        <v>294</v>
      </c>
      <c r="C27" s="27">
        <f>2*Q45</f>
        <v>4</v>
      </c>
      <c r="D27" s="28">
        <f>50000*C27</f>
        <v>200000</v>
      </c>
      <c r="E27" s="28">
        <f>50000*C27</f>
        <v>200000</v>
      </c>
      <c r="F27" s="28">
        <f>50000*C27</f>
        <v>200000</v>
      </c>
      <c r="G27" s="28">
        <f>50000*C27</f>
        <v>200000</v>
      </c>
      <c r="H27" s="28">
        <f>50000*C27</f>
        <v>200000</v>
      </c>
      <c r="I27" s="28">
        <f>50000*C27</f>
        <v>200000</v>
      </c>
      <c r="J27" s="28">
        <f>50000*C27</f>
        <v>200000</v>
      </c>
      <c r="K27" s="28">
        <f>50000*C27</f>
        <v>200000</v>
      </c>
      <c r="L27" s="28">
        <f>50000*C27</f>
        <v>200000</v>
      </c>
      <c r="M27" s="28">
        <f>50000*C27</f>
        <v>200000</v>
      </c>
      <c r="N27" s="28">
        <f>50000*C27</f>
        <v>200000</v>
      </c>
      <c r="O27" s="28">
        <f>50000*C27</f>
        <v>200000</v>
      </c>
      <c r="P27" s="28">
        <f t="shared" si="1"/>
        <v>2400000</v>
      </c>
    </row>
    <row r="28" spans="2:18" x14ac:dyDescent="0.25">
      <c r="B28" s="27" t="s">
        <v>292</v>
      </c>
      <c r="C28" s="27">
        <f>4*Q45</f>
        <v>8</v>
      </c>
      <c r="D28" s="28">
        <f>25000*C28</f>
        <v>200000</v>
      </c>
      <c r="E28" s="28">
        <f>25000*C28</f>
        <v>200000</v>
      </c>
      <c r="F28" s="28">
        <f>25000*C28</f>
        <v>200000</v>
      </c>
      <c r="G28" s="28">
        <f>25000*C28</f>
        <v>200000</v>
      </c>
      <c r="H28" s="28">
        <f>25000*C28</f>
        <v>200000</v>
      </c>
      <c r="I28" s="28">
        <f>25000*C28</f>
        <v>200000</v>
      </c>
      <c r="J28" s="28">
        <f>25000*C28</f>
        <v>200000</v>
      </c>
      <c r="K28" s="28">
        <f>25000*C28</f>
        <v>200000</v>
      </c>
      <c r="L28" s="28">
        <f>25000*C28</f>
        <v>200000</v>
      </c>
      <c r="M28" s="28">
        <f>25000*C28</f>
        <v>200000</v>
      </c>
      <c r="N28" s="28">
        <f>25000*C28</f>
        <v>200000</v>
      </c>
      <c r="O28" s="28">
        <f>25000*C28</f>
        <v>200000</v>
      </c>
      <c r="P28" s="28">
        <f t="shared" si="1"/>
        <v>2400000</v>
      </c>
    </row>
    <row r="29" spans="2:18" x14ac:dyDescent="0.25">
      <c r="B29" s="27" t="s">
        <v>293</v>
      </c>
      <c r="C29" s="27">
        <f>8*Q45</f>
        <v>16</v>
      </c>
      <c r="D29" s="28">
        <f>20000*C29</f>
        <v>320000</v>
      </c>
      <c r="E29" s="28">
        <f>20000*C29</f>
        <v>320000</v>
      </c>
      <c r="F29" s="28">
        <f>20000*C29</f>
        <v>320000</v>
      </c>
      <c r="G29" s="28">
        <f>20000*C29</f>
        <v>320000</v>
      </c>
      <c r="H29" s="28">
        <f>20000*C29</f>
        <v>320000</v>
      </c>
      <c r="I29" s="28">
        <f>20000*C29</f>
        <v>320000</v>
      </c>
      <c r="J29" s="28">
        <f>20000*C29</f>
        <v>320000</v>
      </c>
      <c r="K29" s="28">
        <f>20000*C29</f>
        <v>320000</v>
      </c>
      <c r="L29" s="28">
        <f>20000*C29</f>
        <v>320000</v>
      </c>
      <c r="M29" s="28">
        <f>20000*C29</f>
        <v>320000</v>
      </c>
      <c r="N29" s="28">
        <f>20000*C29</f>
        <v>320000</v>
      </c>
      <c r="O29" s="28">
        <f>20000*C29</f>
        <v>320000</v>
      </c>
      <c r="P29" s="28">
        <f t="shared" si="1"/>
        <v>3840000</v>
      </c>
    </row>
    <row r="30" spans="2:18" ht="25.5" x14ac:dyDescent="0.25">
      <c r="B30" s="27" t="s">
        <v>237</v>
      </c>
      <c r="C30" s="27">
        <v>1</v>
      </c>
      <c r="D30" s="28">
        <v>50000</v>
      </c>
      <c r="E30" s="28">
        <v>50000</v>
      </c>
      <c r="F30" s="28">
        <v>50000</v>
      </c>
      <c r="G30" s="28">
        <v>50000</v>
      </c>
      <c r="H30" s="28">
        <v>50000</v>
      </c>
      <c r="I30" s="28">
        <v>50000</v>
      </c>
      <c r="J30" s="28">
        <v>50000</v>
      </c>
      <c r="K30" s="28">
        <v>50000</v>
      </c>
      <c r="L30" s="28">
        <v>50000</v>
      </c>
      <c r="M30" s="28">
        <v>50000</v>
      </c>
      <c r="N30" s="28">
        <v>50000</v>
      </c>
      <c r="O30" s="28">
        <v>50000</v>
      </c>
      <c r="P30" s="28">
        <f t="shared" si="1"/>
        <v>600000</v>
      </c>
    </row>
    <row r="31" spans="2:18" ht="25.5" x14ac:dyDescent="0.25">
      <c r="B31" s="27" t="s">
        <v>224</v>
      </c>
      <c r="C31" s="27">
        <f>4*Q45</f>
        <v>8</v>
      </c>
      <c r="D31" s="28">
        <f>35000*C31</f>
        <v>280000</v>
      </c>
      <c r="E31" s="28">
        <f>35000*C31</f>
        <v>280000</v>
      </c>
      <c r="F31" s="28">
        <f>35000*C31</f>
        <v>280000</v>
      </c>
      <c r="G31" s="28">
        <f>35000*C31</f>
        <v>280000</v>
      </c>
      <c r="H31" s="28">
        <f>35000*C31</f>
        <v>280000</v>
      </c>
      <c r="I31" s="28">
        <f>35000*C31</f>
        <v>280000</v>
      </c>
      <c r="J31" s="28">
        <f>35000*C31</f>
        <v>280000</v>
      </c>
      <c r="K31" s="28">
        <f>35000*C31</f>
        <v>280000</v>
      </c>
      <c r="L31" s="28">
        <f>35000*C31</f>
        <v>280000</v>
      </c>
      <c r="M31" s="28">
        <f>35000*C31</f>
        <v>280000</v>
      </c>
      <c r="N31" s="28">
        <f>35000*C31</f>
        <v>280000</v>
      </c>
      <c r="O31" s="28">
        <f>35000*C31</f>
        <v>280000</v>
      </c>
      <c r="P31" s="28">
        <f t="shared" si="1"/>
        <v>3360000</v>
      </c>
    </row>
    <row r="32" spans="2:18" x14ac:dyDescent="0.25">
      <c r="B32" s="27" t="s">
        <v>225</v>
      </c>
      <c r="C32" s="27">
        <f>4*Q45</f>
        <v>8</v>
      </c>
      <c r="D32" s="28">
        <f>28000*C32</f>
        <v>224000</v>
      </c>
      <c r="E32" s="28">
        <f>28000*C32</f>
        <v>224000</v>
      </c>
      <c r="F32" s="28">
        <f>28000*C32</f>
        <v>224000</v>
      </c>
      <c r="G32" s="28">
        <f>28000*C32</f>
        <v>224000</v>
      </c>
      <c r="H32" s="28">
        <f>28000*C32</f>
        <v>224000</v>
      </c>
      <c r="I32" s="28">
        <f>28000*C32</f>
        <v>224000</v>
      </c>
      <c r="J32" s="28">
        <f>28000*C32</f>
        <v>224000</v>
      </c>
      <c r="K32" s="28">
        <f>28000*C32</f>
        <v>224000</v>
      </c>
      <c r="L32" s="28">
        <f>28000*C32</f>
        <v>224000</v>
      </c>
      <c r="M32" s="28">
        <f>28000*C32</f>
        <v>224000</v>
      </c>
      <c r="N32" s="28">
        <f>28000*C32</f>
        <v>224000</v>
      </c>
      <c r="O32" s="28">
        <f>28000*C32</f>
        <v>224000</v>
      </c>
      <c r="P32" s="28">
        <f t="shared" si="1"/>
        <v>2688000</v>
      </c>
    </row>
    <row r="33" spans="2:18" x14ac:dyDescent="0.25">
      <c r="B33" s="27" t="s">
        <v>226</v>
      </c>
      <c r="C33" s="27">
        <v>4</v>
      </c>
      <c r="D33" s="28">
        <f>20000*4</f>
        <v>80000</v>
      </c>
      <c r="E33" s="28">
        <f t="shared" ref="E33:O33" si="8">20000*4</f>
        <v>80000</v>
      </c>
      <c r="F33" s="28">
        <f t="shared" si="8"/>
        <v>80000</v>
      </c>
      <c r="G33" s="28">
        <f t="shared" si="8"/>
        <v>80000</v>
      </c>
      <c r="H33" s="28">
        <f t="shared" si="8"/>
        <v>80000</v>
      </c>
      <c r="I33" s="28">
        <f t="shared" si="8"/>
        <v>80000</v>
      </c>
      <c r="J33" s="28">
        <f t="shared" si="8"/>
        <v>80000</v>
      </c>
      <c r="K33" s="28">
        <f t="shared" si="8"/>
        <v>80000</v>
      </c>
      <c r="L33" s="28">
        <f t="shared" si="8"/>
        <v>80000</v>
      </c>
      <c r="M33" s="28">
        <f t="shared" si="8"/>
        <v>80000</v>
      </c>
      <c r="N33" s="28">
        <f t="shared" si="8"/>
        <v>80000</v>
      </c>
      <c r="O33" s="28">
        <f t="shared" si="8"/>
        <v>80000</v>
      </c>
      <c r="P33" s="28">
        <f t="shared" ref="P33:P36" si="9">SUM(D33:O33)</f>
        <v>960000</v>
      </c>
    </row>
    <row r="34" spans="2:18" x14ac:dyDescent="0.25">
      <c r="B34" s="27" t="s">
        <v>227</v>
      </c>
      <c r="C34" s="27">
        <v>4</v>
      </c>
      <c r="D34" s="28">
        <f>18000*4</f>
        <v>72000</v>
      </c>
      <c r="E34" s="28">
        <f t="shared" ref="E34:O34" si="10">18000*4</f>
        <v>72000</v>
      </c>
      <c r="F34" s="28">
        <f t="shared" si="10"/>
        <v>72000</v>
      </c>
      <c r="G34" s="28">
        <f t="shared" si="10"/>
        <v>72000</v>
      </c>
      <c r="H34" s="28">
        <f t="shared" si="10"/>
        <v>72000</v>
      </c>
      <c r="I34" s="28">
        <f t="shared" si="10"/>
        <v>72000</v>
      </c>
      <c r="J34" s="28">
        <f t="shared" si="10"/>
        <v>72000</v>
      </c>
      <c r="K34" s="28">
        <f t="shared" si="10"/>
        <v>72000</v>
      </c>
      <c r="L34" s="28">
        <f t="shared" si="10"/>
        <v>72000</v>
      </c>
      <c r="M34" s="28">
        <f t="shared" si="10"/>
        <v>72000</v>
      </c>
      <c r="N34" s="28">
        <f t="shared" si="10"/>
        <v>72000</v>
      </c>
      <c r="O34" s="28">
        <f t="shared" si="10"/>
        <v>72000</v>
      </c>
      <c r="P34" s="28">
        <f t="shared" si="9"/>
        <v>864000</v>
      </c>
    </row>
    <row r="35" spans="2:18" x14ac:dyDescent="0.25">
      <c r="B35" s="27" t="s">
        <v>229</v>
      </c>
      <c r="C35" s="27">
        <f>2*Q45</f>
        <v>4</v>
      </c>
      <c r="D35" s="28">
        <f>45000*C35</f>
        <v>180000</v>
      </c>
      <c r="E35" s="28">
        <f>45000*C35</f>
        <v>180000</v>
      </c>
      <c r="F35" s="28">
        <f>45000*C35</f>
        <v>180000</v>
      </c>
      <c r="G35" s="28">
        <f>45000*C35</f>
        <v>180000</v>
      </c>
      <c r="H35" s="28">
        <f>45000*C35</f>
        <v>180000</v>
      </c>
      <c r="I35" s="28">
        <f>45000*C35</f>
        <v>180000</v>
      </c>
      <c r="J35" s="28">
        <f>45000*C35</f>
        <v>180000</v>
      </c>
      <c r="K35" s="28">
        <f>45000*C35</f>
        <v>180000</v>
      </c>
      <c r="L35" s="28">
        <f>45000*C35</f>
        <v>180000</v>
      </c>
      <c r="M35" s="28">
        <f>45000*C35</f>
        <v>180000</v>
      </c>
      <c r="N35" s="28">
        <f>45000*C35</f>
        <v>180000</v>
      </c>
      <c r="O35" s="28">
        <f>45000*C35</f>
        <v>180000</v>
      </c>
      <c r="P35" s="28">
        <f t="shared" si="9"/>
        <v>2160000</v>
      </c>
    </row>
    <row r="36" spans="2:18" x14ac:dyDescent="0.25">
      <c r="B36" s="27" t="s">
        <v>230</v>
      </c>
      <c r="C36" s="27">
        <f>2*Q45</f>
        <v>4</v>
      </c>
      <c r="D36" s="28">
        <f>45000*C36</f>
        <v>180000</v>
      </c>
      <c r="E36" s="28">
        <f>45000*C36</f>
        <v>180000</v>
      </c>
      <c r="F36" s="28">
        <f>45000*C36</f>
        <v>180000</v>
      </c>
      <c r="G36" s="28">
        <f>45000*C36</f>
        <v>180000</v>
      </c>
      <c r="H36" s="28">
        <f>45000*C36</f>
        <v>180000</v>
      </c>
      <c r="I36" s="28">
        <f>45000*C36</f>
        <v>180000</v>
      </c>
      <c r="J36" s="28">
        <f>45000*C36</f>
        <v>180000</v>
      </c>
      <c r="K36" s="28">
        <f>45000*C36</f>
        <v>180000</v>
      </c>
      <c r="L36" s="28">
        <f>45000*C36</f>
        <v>180000</v>
      </c>
      <c r="M36" s="28">
        <f>45000*C36</f>
        <v>180000</v>
      </c>
      <c r="N36" s="28">
        <f>45000*C36</f>
        <v>180000</v>
      </c>
      <c r="O36" s="28">
        <f>45000*C36</f>
        <v>180000</v>
      </c>
      <c r="P36" s="28">
        <f t="shared" si="9"/>
        <v>2160000</v>
      </c>
    </row>
    <row r="37" spans="2:18" x14ac:dyDescent="0.25">
      <c r="B37" s="30" t="s">
        <v>318</v>
      </c>
      <c r="C37" s="27">
        <v>1</v>
      </c>
      <c r="D37" s="28">
        <v>30000</v>
      </c>
      <c r="E37" s="28">
        <v>30000</v>
      </c>
      <c r="F37" s="28">
        <v>30000</v>
      </c>
      <c r="G37" s="28">
        <v>30000</v>
      </c>
      <c r="H37" s="28">
        <v>30000</v>
      </c>
      <c r="I37" s="28">
        <v>30000</v>
      </c>
      <c r="J37" s="28">
        <v>30000</v>
      </c>
      <c r="K37" s="28">
        <v>30000</v>
      </c>
      <c r="L37" s="28">
        <v>30000</v>
      </c>
      <c r="M37" s="28">
        <v>30000</v>
      </c>
      <c r="N37" s="28">
        <v>30000</v>
      </c>
      <c r="O37" s="28">
        <v>30000</v>
      </c>
      <c r="P37" s="28">
        <f t="shared" ref="P37" si="11">SUM(D37:O37)</f>
        <v>360000</v>
      </c>
    </row>
    <row r="38" spans="2:18" x14ac:dyDescent="0.25">
      <c r="B38" s="27" t="s">
        <v>238</v>
      </c>
      <c r="C38" s="27">
        <v>2</v>
      </c>
      <c r="D38" s="28">
        <f>24000*2</f>
        <v>48000</v>
      </c>
      <c r="E38" s="28">
        <f t="shared" ref="E38:O38" si="12">24000*2</f>
        <v>48000</v>
      </c>
      <c r="F38" s="28">
        <f t="shared" si="12"/>
        <v>48000</v>
      </c>
      <c r="G38" s="28">
        <f t="shared" si="12"/>
        <v>48000</v>
      </c>
      <c r="H38" s="28">
        <f t="shared" si="12"/>
        <v>48000</v>
      </c>
      <c r="I38" s="28">
        <f t="shared" si="12"/>
        <v>48000</v>
      </c>
      <c r="J38" s="28">
        <f t="shared" si="12"/>
        <v>48000</v>
      </c>
      <c r="K38" s="28">
        <f t="shared" si="12"/>
        <v>48000</v>
      </c>
      <c r="L38" s="28">
        <f t="shared" si="12"/>
        <v>48000</v>
      </c>
      <c r="M38" s="28">
        <f t="shared" si="12"/>
        <v>48000</v>
      </c>
      <c r="N38" s="28">
        <f t="shared" si="12"/>
        <v>48000</v>
      </c>
      <c r="O38" s="28">
        <f t="shared" si="12"/>
        <v>48000</v>
      </c>
      <c r="P38" s="28">
        <f t="shared" si="1"/>
        <v>576000</v>
      </c>
    </row>
    <row r="39" spans="2:18" x14ac:dyDescent="0.25">
      <c r="B39" s="27" t="s">
        <v>319</v>
      </c>
      <c r="C39" s="27">
        <v>1</v>
      </c>
      <c r="D39" s="28">
        <v>50000</v>
      </c>
      <c r="E39" s="28">
        <v>50000</v>
      </c>
      <c r="F39" s="28">
        <v>50000</v>
      </c>
      <c r="G39" s="28">
        <v>50000</v>
      </c>
      <c r="H39" s="28">
        <v>50000</v>
      </c>
      <c r="I39" s="28">
        <v>50000</v>
      </c>
      <c r="J39" s="28">
        <v>50000</v>
      </c>
      <c r="K39" s="28">
        <v>50000</v>
      </c>
      <c r="L39" s="28">
        <v>50000</v>
      </c>
      <c r="M39" s="28">
        <v>50000</v>
      </c>
      <c r="N39" s="28">
        <v>50000</v>
      </c>
      <c r="O39" s="28">
        <v>50000</v>
      </c>
      <c r="P39" s="28">
        <f t="shared" si="1"/>
        <v>600000</v>
      </c>
    </row>
    <row r="40" spans="2:18" x14ac:dyDescent="0.25">
      <c r="B40" s="27" t="s">
        <v>243</v>
      </c>
      <c r="C40" s="27">
        <v>2</v>
      </c>
      <c r="D40" s="28">
        <f>38000*2</f>
        <v>76000</v>
      </c>
      <c r="E40" s="28">
        <f t="shared" ref="E40:O40" si="13">38000*2</f>
        <v>76000</v>
      </c>
      <c r="F40" s="28">
        <f t="shared" si="13"/>
        <v>76000</v>
      </c>
      <c r="G40" s="28">
        <f t="shared" si="13"/>
        <v>76000</v>
      </c>
      <c r="H40" s="28">
        <f t="shared" si="13"/>
        <v>76000</v>
      </c>
      <c r="I40" s="28">
        <f t="shared" si="13"/>
        <v>76000</v>
      </c>
      <c r="J40" s="28">
        <f t="shared" si="13"/>
        <v>76000</v>
      </c>
      <c r="K40" s="28">
        <f t="shared" si="13"/>
        <v>76000</v>
      </c>
      <c r="L40" s="28">
        <f t="shared" si="13"/>
        <v>76000</v>
      </c>
      <c r="M40" s="28">
        <f t="shared" si="13"/>
        <v>76000</v>
      </c>
      <c r="N40" s="28">
        <f t="shared" si="13"/>
        <v>76000</v>
      </c>
      <c r="O40" s="28">
        <f t="shared" si="13"/>
        <v>76000</v>
      </c>
      <c r="P40" s="28">
        <f t="shared" si="1"/>
        <v>912000</v>
      </c>
    </row>
    <row r="41" spans="2:18" x14ac:dyDescent="0.25">
      <c r="B41" s="46" t="s">
        <v>250</v>
      </c>
      <c r="C41" s="54">
        <f>SUM(C12:C40)</f>
        <v>102</v>
      </c>
      <c r="D41" s="47">
        <f t="shared" ref="D41:P41" si="14">SUM(D8:D40)</f>
        <v>11038333.333333332</v>
      </c>
      <c r="E41" s="47">
        <f t="shared" si="14"/>
        <v>10038333.333333332</v>
      </c>
      <c r="F41" s="47">
        <f t="shared" si="14"/>
        <v>10038333.333333332</v>
      </c>
      <c r="G41" s="47">
        <f t="shared" si="14"/>
        <v>10038333.333333332</v>
      </c>
      <c r="H41" s="47">
        <f t="shared" si="14"/>
        <v>10038333.333333332</v>
      </c>
      <c r="I41" s="47">
        <f t="shared" si="14"/>
        <v>10038333.333333332</v>
      </c>
      <c r="J41" s="47">
        <f t="shared" si="14"/>
        <v>10038333.333333332</v>
      </c>
      <c r="K41" s="47">
        <f t="shared" si="14"/>
        <v>10038333.333333332</v>
      </c>
      <c r="L41" s="47">
        <f t="shared" si="14"/>
        <v>10038333.333333332</v>
      </c>
      <c r="M41" s="47">
        <f t="shared" si="14"/>
        <v>10038333.333333332</v>
      </c>
      <c r="N41" s="47">
        <f t="shared" si="14"/>
        <v>10038333.333333332</v>
      </c>
      <c r="O41" s="47">
        <f t="shared" si="14"/>
        <v>10038333.333333332</v>
      </c>
      <c r="P41" s="47">
        <f t="shared" si="14"/>
        <v>121460000</v>
      </c>
    </row>
    <row r="42" spans="2:18" ht="26.25" customHeight="1" x14ac:dyDescent="0.25">
      <c r="B42" s="71" t="s">
        <v>244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8" x14ac:dyDescent="0.25">
      <c r="B43" s="74" t="s">
        <v>245</v>
      </c>
      <c r="C43" s="74" t="s">
        <v>246</v>
      </c>
      <c r="D43" s="73" t="s">
        <v>247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67" t="s">
        <v>288</v>
      </c>
      <c r="R43" s="68"/>
    </row>
    <row r="44" spans="2:18" x14ac:dyDescent="0.25">
      <c r="B44" s="74"/>
      <c r="C44" s="74"/>
      <c r="D44" s="41" t="s">
        <v>1</v>
      </c>
      <c r="E44" s="41" t="s">
        <v>2</v>
      </c>
      <c r="F44" s="41" t="s">
        <v>3</v>
      </c>
      <c r="G44" s="41" t="s">
        <v>4</v>
      </c>
      <c r="H44" s="41" t="s">
        <v>5</v>
      </c>
      <c r="I44" s="41" t="s">
        <v>6</v>
      </c>
      <c r="J44" s="41" t="s">
        <v>7</v>
      </c>
      <c r="K44" s="41" t="s">
        <v>8</v>
      </c>
      <c r="L44" s="41" t="s">
        <v>9</v>
      </c>
      <c r="M44" s="41" t="s">
        <v>10</v>
      </c>
      <c r="N44" s="41" t="s">
        <v>11</v>
      </c>
      <c r="O44" s="41" t="s">
        <v>12</v>
      </c>
      <c r="P44" s="42" t="s">
        <v>248</v>
      </c>
      <c r="Q44" s="67"/>
      <c r="R44" s="68"/>
    </row>
    <row r="45" spans="2:18" x14ac:dyDescent="0.25">
      <c r="B45" s="43" t="s">
        <v>299</v>
      </c>
      <c r="C45" s="43">
        <v>2</v>
      </c>
      <c r="D45" s="44">
        <f>131064800*Q45</f>
        <v>262129600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28">
        <f>SUM(D45:O45)</f>
        <v>262129600</v>
      </c>
      <c r="Q45" s="67">
        <f>Рентабельность!D5</f>
        <v>2</v>
      </c>
      <c r="R45" s="68"/>
    </row>
    <row r="46" spans="2:18" x14ac:dyDescent="0.25">
      <c r="B46" s="40" t="s">
        <v>300</v>
      </c>
      <c r="C46" s="40"/>
      <c r="D46" s="31">
        <v>1500000</v>
      </c>
      <c r="E46" s="31">
        <v>1500000</v>
      </c>
      <c r="F46" s="31">
        <v>1500000</v>
      </c>
      <c r="G46" s="31">
        <v>1500000</v>
      </c>
      <c r="H46" s="31">
        <v>1500000</v>
      </c>
      <c r="I46" s="31">
        <v>1500000</v>
      </c>
      <c r="J46" s="31">
        <v>1500000</v>
      </c>
      <c r="K46" s="31">
        <v>1500000</v>
      </c>
      <c r="L46" s="31">
        <v>1500000</v>
      </c>
      <c r="M46" s="31">
        <v>1500000</v>
      </c>
      <c r="N46" s="31">
        <v>1500000</v>
      </c>
      <c r="O46" s="31">
        <v>1500000</v>
      </c>
      <c r="P46" s="28">
        <f t="shared" ref="P46:P51" si="15">SUM(D46:O46)</f>
        <v>18000000</v>
      </c>
      <c r="Q46" s="67"/>
      <c r="R46" s="68"/>
    </row>
    <row r="47" spans="2:18" x14ac:dyDescent="0.25">
      <c r="B47" s="40" t="s">
        <v>253</v>
      </c>
      <c r="C47" s="40"/>
      <c r="D47" s="28">
        <v>500000</v>
      </c>
      <c r="E47" s="28">
        <v>500000</v>
      </c>
      <c r="F47" s="28">
        <v>500000</v>
      </c>
      <c r="G47" s="28">
        <v>500000</v>
      </c>
      <c r="H47" s="28">
        <v>500000</v>
      </c>
      <c r="I47" s="28">
        <v>500000</v>
      </c>
      <c r="J47" s="28">
        <v>500000</v>
      </c>
      <c r="K47" s="28">
        <v>500000</v>
      </c>
      <c r="L47" s="28">
        <v>500000</v>
      </c>
      <c r="M47" s="28">
        <v>500000</v>
      </c>
      <c r="N47" s="28">
        <v>500000</v>
      </c>
      <c r="O47" s="28">
        <v>500000</v>
      </c>
      <c r="P47" s="28">
        <f t="shared" si="15"/>
        <v>6000000</v>
      </c>
    </row>
    <row r="48" spans="2:18" x14ac:dyDescent="0.25">
      <c r="B48" s="40" t="s">
        <v>254</v>
      </c>
      <c r="C48" s="40">
        <v>1</v>
      </c>
      <c r="D48" s="28">
        <v>1000000</v>
      </c>
      <c r="E48" s="28">
        <v>500000</v>
      </c>
      <c r="F48" s="28">
        <v>500000</v>
      </c>
      <c r="G48" s="28">
        <v>500000</v>
      </c>
      <c r="H48" s="28">
        <v>500000</v>
      </c>
      <c r="I48" s="28">
        <v>500000</v>
      </c>
      <c r="J48" s="28">
        <v>500000</v>
      </c>
      <c r="K48" s="28">
        <v>500000</v>
      </c>
      <c r="L48" s="28">
        <v>500000</v>
      </c>
      <c r="M48" s="28">
        <v>500000</v>
      </c>
      <c r="N48" s="28">
        <v>500000</v>
      </c>
      <c r="O48" s="28">
        <v>500000</v>
      </c>
      <c r="P48" s="28">
        <f t="shared" si="15"/>
        <v>6500000</v>
      </c>
    </row>
    <row r="49" spans="2:16" x14ac:dyDescent="0.25">
      <c r="B49" s="55" t="s">
        <v>373</v>
      </c>
      <c r="C49" s="55"/>
      <c r="D49" s="28">
        <v>10000000</v>
      </c>
      <c r="E49" s="28">
        <v>10000000</v>
      </c>
      <c r="F49" s="28">
        <v>10000000</v>
      </c>
      <c r="G49" s="28">
        <v>10000000</v>
      </c>
      <c r="H49" s="28">
        <v>10000000</v>
      </c>
      <c r="I49" s="28">
        <v>10000000</v>
      </c>
      <c r="J49" s="28">
        <v>10000000</v>
      </c>
      <c r="K49" s="28">
        <v>10000000</v>
      </c>
      <c r="L49" s="28">
        <v>10000000</v>
      </c>
      <c r="M49" s="28">
        <v>10000000</v>
      </c>
      <c r="N49" s="28">
        <v>10000000</v>
      </c>
      <c r="O49" s="28">
        <v>10000000</v>
      </c>
      <c r="P49" s="28">
        <f>SUM(D49:O49)</f>
        <v>120000000</v>
      </c>
    </row>
    <row r="50" spans="2:16" x14ac:dyDescent="0.25">
      <c r="B50" s="40" t="s">
        <v>301</v>
      </c>
      <c r="C50" s="40"/>
      <c r="D50" s="28">
        <v>1000000</v>
      </c>
      <c r="E50" s="28">
        <v>1000000</v>
      </c>
      <c r="F50" s="28">
        <v>1000000</v>
      </c>
      <c r="G50" s="28">
        <v>1000000</v>
      </c>
      <c r="H50" s="28">
        <v>1000000</v>
      </c>
      <c r="I50" s="28">
        <v>1000000</v>
      </c>
      <c r="J50" s="28">
        <v>1000000</v>
      </c>
      <c r="K50" s="28">
        <v>1000000</v>
      </c>
      <c r="L50" s="28">
        <v>1000000</v>
      </c>
      <c r="M50" s="28">
        <v>1000000</v>
      </c>
      <c r="N50" s="28">
        <v>1000000</v>
      </c>
      <c r="O50" s="28">
        <v>1000000</v>
      </c>
      <c r="P50" s="28">
        <f t="shared" si="15"/>
        <v>12000000</v>
      </c>
    </row>
    <row r="51" spans="2:16" x14ac:dyDescent="0.25">
      <c r="B51" s="50" t="s">
        <v>291</v>
      </c>
      <c r="C51" s="50"/>
      <c r="D51" s="51">
        <f t="shared" ref="D51:O51" si="16">SUM(D45:D50)</f>
        <v>276129600</v>
      </c>
      <c r="E51" s="51">
        <f t="shared" si="16"/>
        <v>13500000</v>
      </c>
      <c r="F51" s="51">
        <f t="shared" si="16"/>
        <v>13500000</v>
      </c>
      <c r="G51" s="51">
        <f t="shared" si="16"/>
        <v>13500000</v>
      </c>
      <c r="H51" s="51">
        <f t="shared" si="16"/>
        <v>13500000</v>
      </c>
      <c r="I51" s="51">
        <f t="shared" si="16"/>
        <v>13500000</v>
      </c>
      <c r="J51" s="51">
        <f t="shared" si="16"/>
        <v>13500000</v>
      </c>
      <c r="K51" s="51">
        <f t="shared" si="16"/>
        <v>13500000</v>
      </c>
      <c r="L51" s="51">
        <f t="shared" si="16"/>
        <v>13500000</v>
      </c>
      <c r="M51" s="51">
        <f t="shared" si="16"/>
        <v>13500000</v>
      </c>
      <c r="N51" s="51">
        <f t="shared" si="16"/>
        <v>13500000</v>
      </c>
      <c r="O51" s="51">
        <f t="shared" si="16"/>
        <v>13500000</v>
      </c>
      <c r="P51" s="51">
        <f t="shared" si="15"/>
        <v>424629600</v>
      </c>
    </row>
    <row r="52" spans="2:16" x14ac:dyDescent="0.25">
      <c r="B52" s="71" t="s">
        <v>296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69" t="s">
        <v>245</v>
      </c>
      <c r="C54" s="69" t="s">
        <v>259</v>
      </c>
      <c r="D54" s="70" t="s">
        <v>247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 x14ac:dyDescent="0.25">
      <c r="B55" s="69"/>
      <c r="C55" s="69"/>
      <c r="D55" s="41" t="s">
        <v>1</v>
      </c>
      <c r="E55" s="41" t="s">
        <v>2</v>
      </c>
      <c r="F55" s="41" t="s">
        <v>3</v>
      </c>
      <c r="G55" s="41" t="s">
        <v>4</v>
      </c>
      <c r="H55" s="41" t="s">
        <v>5</v>
      </c>
      <c r="I55" s="41" t="s">
        <v>6</v>
      </c>
      <c r="J55" s="41" t="s">
        <v>7</v>
      </c>
      <c r="K55" s="41" t="s">
        <v>8</v>
      </c>
      <c r="L55" s="41" t="s">
        <v>9</v>
      </c>
      <c r="M55" s="41" t="s">
        <v>10</v>
      </c>
      <c r="N55" s="41" t="s">
        <v>11</v>
      </c>
      <c r="O55" s="41" t="s">
        <v>12</v>
      </c>
      <c r="P55" s="42" t="s">
        <v>248</v>
      </c>
    </row>
    <row r="56" spans="2:16" ht="15" x14ac:dyDescent="0.25">
      <c r="B56" s="40" t="s">
        <v>275</v>
      </c>
      <c r="C56" s="38">
        <v>300</v>
      </c>
      <c r="D56" s="45">
        <f>669600*Q45</f>
        <v>1339200</v>
      </c>
      <c r="E56" s="45">
        <f>669600*Q45</f>
        <v>1339200</v>
      </c>
      <c r="F56" s="45">
        <f>669600*Q45</f>
        <v>1339200</v>
      </c>
      <c r="G56" s="45">
        <f>669600*Q45</f>
        <v>1339200</v>
      </c>
      <c r="H56" s="45">
        <f>669600*Q45</f>
        <v>1339200</v>
      </c>
      <c r="I56" s="45">
        <f>669600*Q45</f>
        <v>1339200</v>
      </c>
      <c r="J56" s="45">
        <f>669600*Q45</f>
        <v>1339200</v>
      </c>
      <c r="K56" s="45">
        <f>669600*Q45</f>
        <v>1339200</v>
      </c>
      <c r="L56" s="45">
        <f>669600*Q45</f>
        <v>1339200</v>
      </c>
      <c r="M56" s="45">
        <f>669600*Q45</f>
        <v>1339200</v>
      </c>
      <c r="N56" s="45">
        <f>669600*Q45</f>
        <v>1339200</v>
      </c>
      <c r="O56" s="45">
        <f>669600*Q45</f>
        <v>1339200</v>
      </c>
      <c r="P56" s="28">
        <f>SUM(D56:O56)</f>
        <v>16070400</v>
      </c>
    </row>
    <row r="57" spans="2:16" ht="15" x14ac:dyDescent="0.25">
      <c r="B57" s="40" t="s">
        <v>276</v>
      </c>
      <c r="C57" s="38">
        <v>300</v>
      </c>
      <c r="D57" s="45">
        <f>507489.84*Q45</f>
        <v>1014979.68</v>
      </c>
      <c r="E57" s="45">
        <f>507489.84*Q45</f>
        <v>1014979.68</v>
      </c>
      <c r="F57" s="45">
        <f>507489.84*Q45</f>
        <v>1014979.68</v>
      </c>
      <c r="G57" s="45">
        <f>507489.84*Q45</f>
        <v>1014979.68</v>
      </c>
      <c r="H57" s="45">
        <f>507489.84*Q45</f>
        <v>1014979.68</v>
      </c>
      <c r="I57" s="45">
        <f>507489.84*Q45</f>
        <v>1014979.68</v>
      </c>
      <c r="J57" s="45">
        <f>507489.84*Q45</f>
        <v>1014979.68</v>
      </c>
      <c r="K57" s="45">
        <f>507489.84*Q45</f>
        <v>1014979.68</v>
      </c>
      <c r="L57" s="45">
        <f>507489.84*Q45</f>
        <v>1014979.68</v>
      </c>
      <c r="M57" s="45">
        <f>507489.84*Q45</f>
        <v>1014979.68</v>
      </c>
      <c r="N57" s="45">
        <f>507489.84*Q45</f>
        <v>1014979.68</v>
      </c>
      <c r="O57" s="45">
        <f>507489.84*Q45</f>
        <v>1014979.68</v>
      </c>
      <c r="P57" s="28">
        <f t="shared" ref="P57:P72" si="17">SUM(D57:O57)</f>
        <v>12179756.159999998</v>
      </c>
    </row>
    <row r="58" spans="2:16" ht="15" x14ac:dyDescent="0.25">
      <c r="B58" s="40" t="s">
        <v>277</v>
      </c>
      <c r="C58" s="38">
        <v>80</v>
      </c>
      <c r="D58" s="45">
        <f>178560*Q45</f>
        <v>357120</v>
      </c>
      <c r="E58" s="45">
        <f>178560*Q45</f>
        <v>357120</v>
      </c>
      <c r="F58" s="45">
        <f>178560*Q45</f>
        <v>357120</v>
      </c>
      <c r="G58" s="45">
        <f>178560*Q45</f>
        <v>357120</v>
      </c>
      <c r="H58" s="45">
        <f>178560*Q45</f>
        <v>357120</v>
      </c>
      <c r="I58" s="45">
        <f>178560*Q45</f>
        <v>357120</v>
      </c>
      <c r="J58" s="45">
        <f>178560*Q45</f>
        <v>357120</v>
      </c>
      <c r="K58" s="45">
        <f>178560*Q45</f>
        <v>357120</v>
      </c>
      <c r="L58" s="45">
        <f>178560*Q45</f>
        <v>357120</v>
      </c>
      <c r="M58" s="45">
        <f>178560*Q45</f>
        <v>357120</v>
      </c>
      <c r="N58" s="45">
        <f>178560*Q45</f>
        <v>357120</v>
      </c>
      <c r="O58" s="45">
        <f>178560*Q45</f>
        <v>357120</v>
      </c>
      <c r="P58" s="28">
        <f t="shared" si="17"/>
        <v>4285440</v>
      </c>
    </row>
    <row r="59" spans="2:16" ht="15" x14ac:dyDescent="0.25">
      <c r="B59" s="40" t="s">
        <v>278</v>
      </c>
      <c r="C59" s="38">
        <v>450</v>
      </c>
      <c r="D59" s="45">
        <f>295293.6*Q45</f>
        <v>590587.19999999995</v>
      </c>
      <c r="E59" s="45">
        <f>295293.6*Q45</f>
        <v>590587.19999999995</v>
      </c>
      <c r="F59" s="45">
        <f>295293.6*Q45</f>
        <v>590587.19999999995</v>
      </c>
      <c r="G59" s="45">
        <f>295293.6*Q45</f>
        <v>590587.19999999995</v>
      </c>
      <c r="H59" s="45">
        <f>295293.6*Q45</f>
        <v>590587.19999999995</v>
      </c>
      <c r="I59" s="45">
        <f>295293.6*Q45</f>
        <v>590587.19999999995</v>
      </c>
      <c r="J59" s="45">
        <f>295293.6*Q45</f>
        <v>590587.19999999995</v>
      </c>
      <c r="K59" s="45">
        <f>295293.6*Q45</f>
        <v>590587.19999999995</v>
      </c>
      <c r="L59" s="45">
        <f>295293.6*Q45</f>
        <v>590587.19999999995</v>
      </c>
      <c r="M59" s="45">
        <f>295293.6*Q45</f>
        <v>590587.19999999995</v>
      </c>
      <c r="N59" s="45">
        <f>295293.6*Q45</f>
        <v>590587.19999999995</v>
      </c>
      <c r="O59" s="45">
        <f>295293.6*Q45</f>
        <v>590587.19999999995</v>
      </c>
      <c r="P59" s="28">
        <f t="shared" si="17"/>
        <v>7087046.4000000013</v>
      </c>
    </row>
    <row r="60" spans="2:16" ht="15" x14ac:dyDescent="0.25">
      <c r="B60" s="40" t="s">
        <v>279</v>
      </c>
      <c r="C60" s="38">
        <v>300</v>
      </c>
      <c r="D60" s="45">
        <f>236234.88*Q45</f>
        <v>472469.76000000001</v>
      </c>
      <c r="E60" s="45">
        <f>236234.88*Q45</f>
        <v>472469.76000000001</v>
      </c>
      <c r="F60" s="45">
        <f>236234.88*Q45</f>
        <v>472469.76000000001</v>
      </c>
      <c r="G60" s="45">
        <f>236234.88*Q45</f>
        <v>472469.76000000001</v>
      </c>
      <c r="H60" s="45">
        <f>236234.88*Q45</f>
        <v>472469.76000000001</v>
      </c>
      <c r="I60" s="45">
        <f>236234.88*Q45</f>
        <v>472469.76000000001</v>
      </c>
      <c r="J60" s="45">
        <f>236234.88*Q45</f>
        <v>472469.76000000001</v>
      </c>
      <c r="K60" s="45">
        <f>236234.88*Q45</f>
        <v>472469.76000000001</v>
      </c>
      <c r="L60" s="45">
        <f>236234.88*Q45</f>
        <v>472469.76000000001</v>
      </c>
      <c r="M60" s="45">
        <f>236234.88*Q45</f>
        <v>472469.76000000001</v>
      </c>
      <c r="N60" s="45">
        <f>236234.88*Q45</f>
        <v>472469.76000000001</v>
      </c>
      <c r="O60" s="45">
        <f>236234.88*Q45</f>
        <v>472469.76000000001</v>
      </c>
      <c r="P60" s="28">
        <f t="shared" si="17"/>
        <v>5669637.1199999982</v>
      </c>
    </row>
    <row r="61" spans="2:16" ht="15" x14ac:dyDescent="0.25">
      <c r="B61" s="40" t="s">
        <v>280</v>
      </c>
      <c r="C61" s="38">
        <v>1000</v>
      </c>
      <c r="D61" s="45">
        <f>136152*Q45</f>
        <v>272304</v>
      </c>
      <c r="E61" s="45">
        <f>136152*Q45</f>
        <v>272304</v>
      </c>
      <c r="F61" s="45">
        <f>136152*Q45</f>
        <v>272304</v>
      </c>
      <c r="G61" s="45">
        <f>136152*Q45</f>
        <v>272304</v>
      </c>
      <c r="H61" s="45">
        <f>136152*Q45</f>
        <v>272304</v>
      </c>
      <c r="I61" s="45">
        <f>136152*Q45</f>
        <v>272304</v>
      </c>
      <c r="J61" s="45">
        <f>136152*Q45</f>
        <v>272304</v>
      </c>
      <c r="K61" s="45">
        <f>136152*Q45</f>
        <v>272304</v>
      </c>
      <c r="L61" s="45">
        <f>136152*Q45</f>
        <v>272304</v>
      </c>
      <c r="M61" s="45">
        <f>136152*Q45</f>
        <v>272304</v>
      </c>
      <c r="N61" s="45">
        <f>136152*Q45</f>
        <v>272304</v>
      </c>
      <c r="O61" s="45">
        <f>136152*Q45</f>
        <v>272304</v>
      </c>
      <c r="P61" s="28">
        <f t="shared" si="17"/>
        <v>3267648</v>
      </c>
    </row>
    <row r="62" spans="2:16" ht="15" x14ac:dyDescent="0.25">
      <c r="B62" s="40" t="s">
        <v>281</v>
      </c>
      <c r="C62" s="38">
        <v>300</v>
      </c>
      <c r="D62" s="45">
        <f>510681*Q45</f>
        <v>1021362</v>
      </c>
      <c r="E62" s="45">
        <f>510681*Q45</f>
        <v>1021362</v>
      </c>
      <c r="F62" s="45">
        <f>510681*Q45</f>
        <v>1021362</v>
      </c>
      <c r="G62" s="45">
        <f>510681*Q45</f>
        <v>1021362</v>
      </c>
      <c r="H62" s="45">
        <f>510681*Q45</f>
        <v>1021362</v>
      </c>
      <c r="I62" s="45">
        <f>510681*Q45</f>
        <v>1021362</v>
      </c>
      <c r="J62" s="45">
        <f>510681*Q45</f>
        <v>1021362</v>
      </c>
      <c r="K62" s="45">
        <f>510681*Q45</f>
        <v>1021362</v>
      </c>
      <c r="L62" s="45">
        <f>510681*Q45</f>
        <v>1021362</v>
      </c>
      <c r="M62" s="45">
        <f>510681*Q45</f>
        <v>1021362</v>
      </c>
      <c r="N62" s="45">
        <f>510681*Q45</f>
        <v>1021362</v>
      </c>
      <c r="O62" s="45">
        <f>510681*Q45</f>
        <v>1021362</v>
      </c>
      <c r="P62" s="28">
        <f t="shared" si="17"/>
        <v>12256344</v>
      </c>
    </row>
    <row r="63" spans="2:16" ht="15" x14ac:dyDescent="0.25">
      <c r="B63" s="40" t="s">
        <v>282</v>
      </c>
      <c r="C63" s="38">
        <v>35</v>
      </c>
      <c r="D63" s="45">
        <f>156240*Q45</f>
        <v>312480</v>
      </c>
      <c r="E63" s="45">
        <f>156240*Q45</f>
        <v>312480</v>
      </c>
      <c r="F63" s="45">
        <f>156240*Q45</f>
        <v>312480</v>
      </c>
      <c r="G63" s="45">
        <f>156240*Q45</f>
        <v>312480</v>
      </c>
      <c r="H63" s="45">
        <f>156240*Q45</f>
        <v>312480</v>
      </c>
      <c r="I63" s="45">
        <f>156240*Q45</f>
        <v>312480</v>
      </c>
      <c r="J63" s="45">
        <f>156240*Q45</f>
        <v>312480</v>
      </c>
      <c r="K63" s="45">
        <f>156240*Q45</f>
        <v>312480</v>
      </c>
      <c r="L63" s="45">
        <f>156240*Q45</f>
        <v>312480</v>
      </c>
      <c r="M63" s="45">
        <f>156240*Q45</f>
        <v>312480</v>
      </c>
      <c r="N63" s="45">
        <f>156240*Q45</f>
        <v>312480</v>
      </c>
      <c r="O63" s="45">
        <f>156240*Q45</f>
        <v>312480</v>
      </c>
      <c r="P63" s="28">
        <f t="shared" si="17"/>
        <v>3749760</v>
      </c>
    </row>
    <row r="64" spans="2:16" ht="15" x14ac:dyDescent="0.25">
      <c r="B64" s="40" t="s">
        <v>283</v>
      </c>
      <c r="C64" s="38">
        <v>170</v>
      </c>
      <c r="D64" s="45">
        <f>148740.48*Q45</f>
        <v>297480.96000000002</v>
      </c>
      <c r="E64" s="45">
        <f>148740.48*Q45</f>
        <v>297480.96000000002</v>
      </c>
      <c r="F64" s="45">
        <f>148740.48*Q45</f>
        <v>297480.96000000002</v>
      </c>
      <c r="G64" s="45">
        <f>148740.48*Q45</f>
        <v>297480.96000000002</v>
      </c>
      <c r="H64" s="45">
        <f>148740.48*Q45</f>
        <v>297480.96000000002</v>
      </c>
      <c r="I64" s="45">
        <f>148740.48*Q45</f>
        <v>297480.96000000002</v>
      </c>
      <c r="J64" s="45">
        <f>148740.48*Q45</f>
        <v>297480.96000000002</v>
      </c>
      <c r="K64" s="45">
        <f>148740.48*Q45</f>
        <v>297480.96000000002</v>
      </c>
      <c r="L64" s="45">
        <f>148740.48*Q45</f>
        <v>297480.96000000002</v>
      </c>
      <c r="M64" s="45">
        <f>148740.48*Q45</f>
        <v>297480.96000000002</v>
      </c>
      <c r="N64" s="45">
        <f>148740.48*Q45</f>
        <v>297480.96000000002</v>
      </c>
      <c r="O64" s="45">
        <f>148740.48*Q45</f>
        <v>297480.96000000002</v>
      </c>
      <c r="P64" s="28">
        <f t="shared" si="17"/>
        <v>3569771.52</v>
      </c>
    </row>
    <row r="65" spans="2:16" ht="15" customHeight="1" x14ac:dyDescent="0.25">
      <c r="B65" s="40" t="s">
        <v>284</v>
      </c>
      <c r="C65" s="38">
        <v>550</v>
      </c>
      <c r="D65" s="45">
        <f>74883.6*Q45</f>
        <v>149767.20000000001</v>
      </c>
      <c r="E65" s="45">
        <f>74883.6*Q45</f>
        <v>149767.20000000001</v>
      </c>
      <c r="F65" s="45">
        <f>74883.6*Q45</f>
        <v>149767.20000000001</v>
      </c>
      <c r="G65" s="45">
        <f>74883.6*Q45</f>
        <v>149767.20000000001</v>
      </c>
      <c r="H65" s="45">
        <f>74883.6*Q45</f>
        <v>149767.20000000001</v>
      </c>
      <c r="I65" s="45">
        <f>74883.6*Q45</f>
        <v>149767.20000000001</v>
      </c>
      <c r="J65" s="45">
        <f>74883.6*Q45</f>
        <v>149767.20000000001</v>
      </c>
      <c r="K65" s="45">
        <f>74883.6*Q45</f>
        <v>149767.20000000001</v>
      </c>
      <c r="L65" s="45">
        <f>74883.6*Q45</f>
        <v>149767.20000000001</v>
      </c>
      <c r="M65" s="45">
        <f>74883.6*Q45</f>
        <v>149767.20000000001</v>
      </c>
      <c r="N65" s="45">
        <f>74883.6*Q45</f>
        <v>149767.20000000001</v>
      </c>
      <c r="O65" s="45">
        <f>74883.6*Q45</f>
        <v>149767.20000000001</v>
      </c>
      <c r="P65" s="28">
        <f t="shared" si="17"/>
        <v>1797206.3999999997</v>
      </c>
    </row>
    <row r="66" spans="2:16" ht="15" x14ac:dyDescent="0.25">
      <c r="B66" s="40" t="s">
        <v>285</v>
      </c>
      <c r="C66" s="38">
        <v>400</v>
      </c>
      <c r="D66" s="45">
        <f>656208*Q45</f>
        <v>1312416</v>
      </c>
      <c r="E66" s="45">
        <f>656208*Q45</f>
        <v>1312416</v>
      </c>
      <c r="F66" s="45">
        <f>656208*Q45</f>
        <v>1312416</v>
      </c>
      <c r="G66" s="45">
        <f>656208*Q45</f>
        <v>1312416</v>
      </c>
      <c r="H66" s="45">
        <f>656208*Q45</f>
        <v>1312416</v>
      </c>
      <c r="I66" s="45">
        <f>656208*Q45</f>
        <v>1312416</v>
      </c>
      <c r="J66" s="45">
        <f>656208*Q45</f>
        <v>1312416</v>
      </c>
      <c r="K66" s="45">
        <f>656208*Q45</f>
        <v>1312416</v>
      </c>
      <c r="L66" s="45">
        <f>656208*Q45</f>
        <v>1312416</v>
      </c>
      <c r="M66" s="45">
        <f>656208*Q45</f>
        <v>1312416</v>
      </c>
      <c r="N66" s="45">
        <f>656208*Q45</f>
        <v>1312416</v>
      </c>
      <c r="O66" s="45">
        <f>656208*Q45</f>
        <v>1312416</v>
      </c>
      <c r="P66" s="28">
        <f t="shared" si="17"/>
        <v>15748992</v>
      </c>
    </row>
    <row r="67" spans="2:16" ht="30" customHeight="1" x14ac:dyDescent="0.25">
      <c r="B67" s="40" t="s">
        <v>286</v>
      </c>
      <c r="C67" s="38">
        <v>400</v>
      </c>
      <c r="D67" s="45">
        <f>656208*Q45</f>
        <v>1312416</v>
      </c>
      <c r="E67" s="45">
        <f>656208*Q45</f>
        <v>1312416</v>
      </c>
      <c r="F67" s="45">
        <f>656208*Q45</f>
        <v>1312416</v>
      </c>
      <c r="G67" s="45">
        <f>656208*Q45</f>
        <v>1312416</v>
      </c>
      <c r="H67" s="45">
        <f>656208*Q45</f>
        <v>1312416</v>
      </c>
      <c r="I67" s="45">
        <f>656208*Q45</f>
        <v>1312416</v>
      </c>
      <c r="J67" s="45">
        <f>656208*Q45</f>
        <v>1312416</v>
      </c>
      <c r="K67" s="45">
        <f>656208*Q45</f>
        <v>1312416</v>
      </c>
      <c r="L67" s="45">
        <f>656208*Q45</f>
        <v>1312416</v>
      </c>
      <c r="M67" s="45">
        <f>656208*Q45</f>
        <v>1312416</v>
      </c>
      <c r="N67" s="45">
        <f>656208*Q45</f>
        <v>1312416</v>
      </c>
      <c r="O67" s="45">
        <f>656208*Q45</f>
        <v>1312416</v>
      </c>
      <c r="P67" s="28">
        <f t="shared" si="17"/>
        <v>15748992</v>
      </c>
    </row>
    <row r="68" spans="2:16" ht="15" x14ac:dyDescent="0.25">
      <c r="B68" s="40" t="s">
        <v>287</v>
      </c>
      <c r="C68" s="38">
        <v>700</v>
      </c>
      <c r="D68" s="45">
        <f>114836.4*Q45</f>
        <v>229672.8</v>
      </c>
      <c r="E68" s="45">
        <f>114836.4*Q45</f>
        <v>229672.8</v>
      </c>
      <c r="F68" s="45">
        <f>114836.4*Q45</f>
        <v>229672.8</v>
      </c>
      <c r="G68" s="45">
        <f>114836.4*Q45</f>
        <v>229672.8</v>
      </c>
      <c r="H68" s="45">
        <f>114836.4*Q45</f>
        <v>229672.8</v>
      </c>
      <c r="I68" s="45">
        <f>114836.4*Q45</f>
        <v>229672.8</v>
      </c>
      <c r="J68" s="45">
        <f>114836.4*Q45</f>
        <v>229672.8</v>
      </c>
      <c r="K68" s="45">
        <f>114836.4*Q45</f>
        <v>229672.8</v>
      </c>
      <c r="L68" s="45">
        <f>114836.4*Q45</f>
        <v>229672.8</v>
      </c>
      <c r="M68" s="45">
        <f>114836.4*Q45</f>
        <v>229672.8</v>
      </c>
      <c r="N68" s="45">
        <f>114836.4*Q45</f>
        <v>229672.8</v>
      </c>
      <c r="O68" s="45">
        <f>114836.4*Q45</f>
        <v>229672.8</v>
      </c>
      <c r="P68" s="28">
        <f t="shared" si="17"/>
        <v>2756073.5999999996</v>
      </c>
    </row>
    <row r="69" spans="2:16" ht="15" x14ac:dyDescent="0.25">
      <c r="B69" s="40" t="s">
        <v>268</v>
      </c>
      <c r="C69" s="38">
        <v>150</v>
      </c>
      <c r="D69" s="45">
        <f>31500000*Q45</f>
        <v>63000000</v>
      </c>
      <c r="E69" s="45">
        <f>31500000*Q45</f>
        <v>63000000</v>
      </c>
      <c r="F69" s="45">
        <f>31500000*Q45</f>
        <v>63000000</v>
      </c>
      <c r="G69" s="45">
        <f>31500000*Q45</f>
        <v>63000000</v>
      </c>
      <c r="H69" s="45">
        <f>31500000*Q45</f>
        <v>63000000</v>
      </c>
      <c r="I69" s="45">
        <f>31500000*Q45</f>
        <v>63000000</v>
      </c>
      <c r="J69" s="45">
        <f>31500000*Q45</f>
        <v>63000000</v>
      </c>
      <c r="K69" s="45">
        <f>31500000*Q45</f>
        <v>63000000</v>
      </c>
      <c r="L69" s="45">
        <f>31500000*Q45</f>
        <v>63000000</v>
      </c>
      <c r="M69" s="45">
        <f>31500000*Q45</f>
        <v>63000000</v>
      </c>
      <c r="N69" s="45">
        <f>31500000*Q45</f>
        <v>63000000</v>
      </c>
      <c r="O69" s="45">
        <f>31500000*Q45</f>
        <v>63000000</v>
      </c>
      <c r="P69" s="28">
        <f t="shared" si="17"/>
        <v>756000000</v>
      </c>
    </row>
    <row r="70" spans="2:16" ht="15" x14ac:dyDescent="0.25">
      <c r="B70" s="40" t="s">
        <v>267</v>
      </c>
      <c r="C70" s="38">
        <v>5.8</v>
      </c>
      <c r="D70" s="45">
        <f>697392*Q45</f>
        <v>1394784</v>
      </c>
      <c r="E70" s="45">
        <f>697392*Q45</f>
        <v>1394784</v>
      </c>
      <c r="F70" s="45">
        <f>697392*Q45</f>
        <v>1394784</v>
      </c>
      <c r="G70" s="45">
        <f>697392*Q45</f>
        <v>1394784</v>
      </c>
      <c r="H70" s="45">
        <f>697392*Q45</f>
        <v>1394784</v>
      </c>
      <c r="I70" s="45">
        <f>697392*Q45</f>
        <v>1394784</v>
      </c>
      <c r="J70" s="45">
        <f>697392*Q45</f>
        <v>1394784</v>
      </c>
      <c r="K70" s="45">
        <f>697392*Q45</f>
        <v>1394784</v>
      </c>
      <c r="L70" s="45">
        <f>697392*Q45</f>
        <v>1394784</v>
      </c>
      <c r="M70" s="45">
        <f>697392*Q45</f>
        <v>1394784</v>
      </c>
      <c r="N70" s="45">
        <f>697392*Q45</f>
        <v>1394784</v>
      </c>
      <c r="O70" s="45">
        <f>697392*Q45</f>
        <v>1394784</v>
      </c>
      <c r="P70" s="28">
        <f t="shared" si="17"/>
        <v>16737408</v>
      </c>
    </row>
    <row r="71" spans="2:16" ht="15" x14ac:dyDescent="0.25">
      <c r="B71" s="40" t="s">
        <v>265</v>
      </c>
      <c r="C71" s="38">
        <v>7.5</v>
      </c>
      <c r="D71" s="45">
        <f>756000*Q45</f>
        <v>1512000</v>
      </c>
      <c r="E71" s="45">
        <f>756000*Q45</f>
        <v>1512000</v>
      </c>
      <c r="F71" s="45">
        <f>756000*Q45</f>
        <v>1512000</v>
      </c>
      <c r="G71" s="45">
        <f>756000*Q45</f>
        <v>1512000</v>
      </c>
      <c r="H71" s="45">
        <f>756000*Q45</f>
        <v>1512000</v>
      </c>
      <c r="I71" s="45">
        <f>756000*Q45</f>
        <v>1512000</v>
      </c>
      <c r="J71" s="45">
        <f>756000*Q45</f>
        <v>1512000</v>
      </c>
      <c r="K71" s="45">
        <f>756000*Q45</f>
        <v>1512000</v>
      </c>
      <c r="L71" s="45">
        <f>756000*Q45</f>
        <v>1512000</v>
      </c>
      <c r="M71" s="45">
        <f>756000*Q45</f>
        <v>1512000</v>
      </c>
      <c r="N71" s="45">
        <f>756000*Q45</f>
        <v>1512000</v>
      </c>
      <c r="O71" s="45">
        <f>756000*Q45</f>
        <v>1512000</v>
      </c>
      <c r="P71" s="28">
        <f t="shared" si="17"/>
        <v>18144000</v>
      </c>
    </row>
    <row r="72" spans="2:16" ht="15" x14ac:dyDescent="0.25">
      <c r="B72" s="40" t="s">
        <v>266</v>
      </c>
      <c r="C72" s="38">
        <v>86</v>
      </c>
      <c r="D72" s="45">
        <f>371520*Q45</f>
        <v>743040</v>
      </c>
      <c r="E72" s="45">
        <f>371520*Q45</f>
        <v>743040</v>
      </c>
      <c r="F72" s="45">
        <f>371520*Q45</f>
        <v>743040</v>
      </c>
      <c r="G72" s="45">
        <f>371520*Q45</f>
        <v>743040</v>
      </c>
      <c r="H72" s="45">
        <f>371520*Q45</f>
        <v>743040</v>
      </c>
      <c r="I72" s="45">
        <f>371520*Q45</f>
        <v>743040</v>
      </c>
      <c r="J72" s="45">
        <f>371520*Q45</f>
        <v>743040</v>
      </c>
      <c r="K72" s="45">
        <f>371520*Q45</f>
        <v>743040</v>
      </c>
      <c r="L72" s="45">
        <f>371520*Q45</f>
        <v>743040</v>
      </c>
      <c r="M72" s="45">
        <f>371520*Q45</f>
        <v>743040</v>
      </c>
      <c r="N72" s="45">
        <f>371520*Q45</f>
        <v>743040</v>
      </c>
      <c r="O72" s="45">
        <f>371520*Q45</f>
        <v>743040</v>
      </c>
      <c r="P72" s="28">
        <f t="shared" si="17"/>
        <v>8916480</v>
      </c>
    </row>
    <row r="73" spans="2:16" ht="15" x14ac:dyDescent="0.25">
      <c r="B73" s="48" t="s">
        <v>291</v>
      </c>
      <c r="C73" s="53"/>
      <c r="D73" s="49">
        <f t="shared" ref="D73:O73" si="18">SUM(D56:D72)</f>
        <v>75332079.599999994</v>
      </c>
      <c r="E73" s="49">
        <f t="shared" si="18"/>
        <v>75332079.599999994</v>
      </c>
      <c r="F73" s="49">
        <f t="shared" si="18"/>
        <v>75332079.599999994</v>
      </c>
      <c r="G73" s="49">
        <f t="shared" si="18"/>
        <v>75332079.599999994</v>
      </c>
      <c r="H73" s="49">
        <f t="shared" si="18"/>
        <v>75332079.599999994</v>
      </c>
      <c r="I73" s="49">
        <f t="shared" si="18"/>
        <v>75332079.599999994</v>
      </c>
      <c r="J73" s="49">
        <f t="shared" si="18"/>
        <v>75332079.599999994</v>
      </c>
      <c r="K73" s="49">
        <f t="shared" si="18"/>
        <v>75332079.599999994</v>
      </c>
      <c r="L73" s="49">
        <f t="shared" si="18"/>
        <v>75332079.599999994</v>
      </c>
      <c r="M73" s="49">
        <f t="shared" si="18"/>
        <v>75332079.599999994</v>
      </c>
      <c r="N73" s="49">
        <f t="shared" si="18"/>
        <v>75332079.599999994</v>
      </c>
      <c r="O73" s="49">
        <f t="shared" si="18"/>
        <v>75332079.599999994</v>
      </c>
      <c r="P73" s="49">
        <f>SUM(D73:O73)</f>
        <v>903984955.20000017</v>
      </c>
    </row>
    <row r="75" spans="2:16" x14ac:dyDescent="0.25">
      <c r="B75" s="76" t="s">
        <v>302</v>
      </c>
      <c r="C75" s="76"/>
      <c r="D75" s="75">
        <f t="shared" ref="D75:P75" si="19">SUM(D41+D51+D73)</f>
        <v>362500012.93333328</v>
      </c>
      <c r="E75" s="75">
        <f t="shared" si="19"/>
        <v>98870412.933333322</v>
      </c>
      <c r="F75" s="75">
        <f t="shared" si="19"/>
        <v>98870412.933333322</v>
      </c>
      <c r="G75" s="75">
        <f t="shared" si="19"/>
        <v>98870412.933333322</v>
      </c>
      <c r="H75" s="75">
        <f t="shared" si="19"/>
        <v>98870412.933333322</v>
      </c>
      <c r="I75" s="75">
        <f t="shared" si="19"/>
        <v>98870412.933333322</v>
      </c>
      <c r="J75" s="75">
        <f t="shared" si="19"/>
        <v>98870412.933333322</v>
      </c>
      <c r="K75" s="75">
        <f t="shared" si="19"/>
        <v>98870412.933333322</v>
      </c>
      <c r="L75" s="75">
        <f t="shared" si="19"/>
        <v>98870412.933333322</v>
      </c>
      <c r="M75" s="75">
        <f t="shared" si="19"/>
        <v>98870412.933333322</v>
      </c>
      <c r="N75" s="75">
        <f t="shared" si="19"/>
        <v>98870412.933333322</v>
      </c>
      <c r="O75" s="75">
        <f t="shared" si="19"/>
        <v>98870412.933333322</v>
      </c>
      <c r="P75" s="75">
        <f t="shared" si="19"/>
        <v>1450074555.2000003</v>
      </c>
    </row>
    <row r="76" spans="2:16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</sheetData>
  <mergeCells count="28">
    <mergeCell ref="L75:L76"/>
    <mergeCell ref="M75:M76"/>
    <mergeCell ref="N75:N76"/>
    <mergeCell ref="O75:O76"/>
    <mergeCell ref="P75:P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M3:N4"/>
    <mergeCell ref="Q43:R44"/>
    <mergeCell ref="Q45:R46"/>
    <mergeCell ref="B54:B55"/>
    <mergeCell ref="C54:C55"/>
    <mergeCell ref="D54:P54"/>
    <mergeCell ref="B52:P53"/>
    <mergeCell ref="D3:L3"/>
    <mergeCell ref="B5:P5"/>
    <mergeCell ref="B42:P42"/>
    <mergeCell ref="D43:P43"/>
    <mergeCell ref="B43:B44"/>
    <mergeCell ref="C43:C4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7"/>
  <sheetViews>
    <sheetView zoomScale="80" zoomScaleNormal="80" workbookViewId="0">
      <selection activeCell="H10" sqref="H10"/>
    </sheetView>
  </sheetViews>
  <sheetFormatPr defaultRowHeight="12.75" x14ac:dyDescent="0.25"/>
  <cols>
    <col min="1" max="16384" width="9.140625" style="57"/>
  </cols>
  <sheetData>
    <row r="2" spans="2:29" ht="12.75" customHeight="1" x14ac:dyDescent="0.25">
      <c r="B2" s="97" t="s">
        <v>333</v>
      </c>
      <c r="C2" s="97"/>
      <c r="D2" s="97"/>
      <c r="E2" s="99">
        <f>(L8*267840000)</f>
        <v>1576920477.6000001</v>
      </c>
      <c r="F2" s="99"/>
      <c r="G2" s="99"/>
      <c r="I2" s="103" t="s">
        <v>337</v>
      </c>
      <c r="J2" s="103"/>
      <c r="K2" s="103"/>
      <c r="L2" s="102">
        <f>SUM(('Затраты основные (год)'!P73,'Затраты основные (год)'!P51,'Затраты основные (год)'!P41))</f>
        <v>1450074555.2000003</v>
      </c>
      <c r="M2" s="102"/>
      <c r="N2" s="102"/>
      <c r="P2" s="169" t="s">
        <v>329</v>
      </c>
      <c r="Q2" s="169"/>
      <c r="R2" s="169"/>
      <c r="S2" s="170">
        <f>(((131064800*2)+((131064800*2)-(131064800*2/100*80))+46172928.96)/2)*D5</f>
        <v>360728448.95999998</v>
      </c>
      <c r="T2" s="170"/>
      <c r="U2" s="170"/>
    </row>
    <row r="3" spans="2:29" x14ac:dyDescent="0.25">
      <c r="B3" s="97"/>
      <c r="C3" s="97"/>
      <c r="D3" s="97"/>
      <c r="E3" s="99"/>
      <c r="F3" s="99"/>
      <c r="G3" s="99"/>
      <c r="I3" s="103"/>
      <c r="J3" s="103"/>
      <c r="K3" s="103"/>
      <c r="L3" s="102"/>
      <c r="M3" s="102"/>
      <c r="N3" s="102"/>
      <c r="P3" s="169"/>
      <c r="Q3" s="169"/>
      <c r="R3" s="169"/>
      <c r="S3" s="170"/>
      <c r="T3" s="170"/>
      <c r="U3" s="170"/>
      <c r="X3" s="82" t="s">
        <v>374</v>
      </c>
      <c r="Y3" s="82"/>
      <c r="Z3" s="82"/>
      <c r="AA3" s="83">
        <f>(E17/12)/(E5/12)*100</f>
        <v>16.670885324547328</v>
      </c>
      <c r="AB3" s="83"/>
      <c r="AC3" s="83"/>
    </row>
    <row r="4" spans="2:29" x14ac:dyDescent="0.25">
      <c r="B4" s="58"/>
      <c r="C4" s="58"/>
      <c r="D4" s="58"/>
      <c r="E4" s="59"/>
      <c r="F4" s="59"/>
      <c r="G4" s="59"/>
      <c r="I4" s="103" t="s">
        <v>340</v>
      </c>
      <c r="J4" s="103"/>
      <c r="K4" s="103"/>
      <c r="L4" s="102">
        <f>S20+S23+S29</f>
        <v>902849555.20000005</v>
      </c>
      <c r="M4" s="102"/>
      <c r="N4" s="102"/>
      <c r="P4" s="58"/>
      <c r="Q4" s="58"/>
      <c r="R4" s="58"/>
      <c r="S4" s="59"/>
      <c r="T4" s="59"/>
      <c r="U4" s="59"/>
      <c r="X4" s="82"/>
      <c r="Y4" s="82"/>
      <c r="Z4" s="82"/>
      <c r="AA4" s="83"/>
      <c r="AB4" s="83"/>
      <c r="AC4" s="83"/>
    </row>
    <row r="5" spans="2:29" x14ac:dyDescent="0.25">
      <c r="B5" s="97" t="s">
        <v>332</v>
      </c>
      <c r="C5" s="97"/>
      <c r="D5" s="97">
        <v>2</v>
      </c>
      <c r="E5" s="99">
        <f>E2*D5</f>
        <v>3153840955.2000003</v>
      </c>
      <c r="F5" s="99"/>
      <c r="G5" s="99"/>
      <c r="I5" s="103"/>
      <c r="J5" s="103"/>
      <c r="K5" s="103"/>
      <c r="L5" s="102"/>
      <c r="M5" s="102"/>
      <c r="N5" s="102"/>
    </row>
    <row r="6" spans="2:29" x14ac:dyDescent="0.25">
      <c r="B6" s="97"/>
      <c r="C6" s="97"/>
      <c r="D6" s="97"/>
      <c r="E6" s="99"/>
      <c r="F6" s="99"/>
      <c r="G6" s="99"/>
      <c r="I6" s="58"/>
      <c r="J6" s="58"/>
      <c r="K6" s="58"/>
      <c r="L6" s="59"/>
      <c r="M6" s="59"/>
      <c r="N6" s="59"/>
      <c r="P6" s="169" t="s">
        <v>228</v>
      </c>
      <c r="Q6" s="169"/>
    </row>
    <row r="7" spans="2:29" x14ac:dyDescent="0.25">
      <c r="B7" s="58"/>
      <c r="C7" s="58"/>
      <c r="D7" s="58"/>
      <c r="E7" s="59"/>
      <c r="F7" s="59"/>
      <c r="G7" s="59"/>
      <c r="I7" s="58"/>
      <c r="J7" s="58"/>
      <c r="K7" s="58"/>
      <c r="L7" s="59"/>
      <c r="M7" s="59"/>
      <c r="N7" s="59"/>
      <c r="P7" s="74">
        <f>D5</f>
        <v>2</v>
      </c>
      <c r="Q7" s="74"/>
      <c r="R7" s="217" t="s">
        <v>256</v>
      </c>
      <c r="S7" s="218"/>
      <c r="T7" s="219" t="s">
        <v>218</v>
      </c>
      <c r="U7" s="219"/>
      <c r="V7" s="219" t="s">
        <v>375</v>
      </c>
      <c r="W7" s="219"/>
    </row>
    <row r="8" spans="2:29" x14ac:dyDescent="0.25">
      <c r="B8" s="164" t="s">
        <v>320</v>
      </c>
      <c r="C8" s="164"/>
      <c r="D8" s="164"/>
      <c r="E8" s="165">
        <f>E5-E11-L2</f>
        <v>1072998208.96</v>
      </c>
      <c r="F8" s="165"/>
      <c r="G8" s="165"/>
      <c r="I8" s="118" t="s">
        <v>336</v>
      </c>
      <c r="J8" s="118"/>
      <c r="K8" s="118"/>
      <c r="L8" s="119">
        <f>S17+420%</f>
        <v>5.8875465860215055</v>
      </c>
      <c r="M8" s="119"/>
      <c r="N8" s="119"/>
      <c r="P8" s="169" t="s">
        <v>260</v>
      </c>
      <c r="Q8" s="169"/>
      <c r="R8" s="220">
        <f>40000*P7</f>
        <v>80000</v>
      </c>
      <c r="S8" s="221"/>
      <c r="T8" s="222">
        <f>31000*P7</f>
        <v>62000</v>
      </c>
      <c r="U8" s="222"/>
      <c r="V8" s="222">
        <f>3000*P7</f>
        <v>6000</v>
      </c>
      <c r="W8" s="222"/>
    </row>
    <row r="9" spans="2:29" ht="12.75" customHeight="1" x14ac:dyDescent="0.25">
      <c r="B9" s="164"/>
      <c r="C9" s="164"/>
      <c r="D9" s="164"/>
      <c r="E9" s="165"/>
      <c r="F9" s="165"/>
      <c r="G9" s="165"/>
      <c r="I9" s="118"/>
      <c r="J9" s="118"/>
      <c r="K9" s="118"/>
      <c r="L9" s="119"/>
      <c r="M9" s="119"/>
      <c r="N9" s="119"/>
      <c r="P9" s="169" t="s">
        <v>261</v>
      </c>
      <c r="Q9" s="169"/>
      <c r="R9" s="220">
        <f>R8*24</f>
        <v>1920000</v>
      </c>
      <c r="S9" s="221"/>
      <c r="T9" s="222">
        <f>T8*24</f>
        <v>1488000</v>
      </c>
      <c r="U9" s="222"/>
      <c r="V9" s="222">
        <f>V8*24</f>
        <v>144000</v>
      </c>
      <c r="W9" s="222"/>
    </row>
    <row r="10" spans="2:29" x14ac:dyDescent="0.25">
      <c r="B10" s="60"/>
      <c r="C10" s="60"/>
      <c r="D10" s="60"/>
      <c r="E10" s="61"/>
      <c r="F10" s="60"/>
      <c r="G10" s="60"/>
      <c r="I10" s="118" t="s">
        <v>342</v>
      </c>
      <c r="J10" s="118"/>
      <c r="K10" s="118"/>
      <c r="L10" s="119">
        <f>L8*2</f>
        <v>11.775093172043011</v>
      </c>
      <c r="M10" s="119"/>
      <c r="N10" s="119"/>
      <c r="P10" s="169" t="s">
        <v>262</v>
      </c>
      <c r="Q10" s="169"/>
      <c r="R10" s="220">
        <f>R9*30</f>
        <v>57600000</v>
      </c>
      <c r="S10" s="221"/>
      <c r="T10" s="222">
        <f t="shared" ref="T10" si="0">T9*30</f>
        <v>44640000</v>
      </c>
      <c r="U10" s="222"/>
      <c r="V10" s="222">
        <f>V9*30</f>
        <v>4320000</v>
      </c>
      <c r="W10" s="222"/>
    </row>
    <row r="11" spans="2:29" ht="12" customHeight="1" x14ac:dyDescent="0.25">
      <c r="B11" s="94" t="s">
        <v>311</v>
      </c>
      <c r="C11" s="94"/>
      <c r="D11" s="95">
        <v>0.2</v>
      </c>
      <c r="E11" s="96">
        <f>E5*D11</f>
        <v>630768191.04000008</v>
      </c>
      <c r="F11" s="96"/>
      <c r="G11" s="96"/>
      <c r="I11" s="118"/>
      <c r="J11" s="118"/>
      <c r="K11" s="118"/>
      <c r="L11" s="119"/>
      <c r="M11" s="119"/>
      <c r="N11" s="119"/>
      <c r="O11" s="60"/>
      <c r="P11" s="139" t="s">
        <v>263</v>
      </c>
      <c r="Q11" s="139"/>
      <c r="R11" s="223">
        <f>R10*12</f>
        <v>691200000</v>
      </c>
      <c r="S11" s="224"/>
      <c r="T11" s="225">
        <f t="shared" ref="T11" si="1">T10*12</f>
        <v>535680000</v>
      </c>
      <c r="U11" s="225"/>
      <c r="V11" s="225">
        <f>V10*12</f>
        <v>51840000</v>
      </c>
      <c r="W11" s="225"/>
    </row>
    <row r="12" spans="2:29" ht="12" customHeight="1" x14ac:dyDescent="0.25">
      <c r="B12" s="94"/>
      <c r="C12" s="94"/>
      <c r="D12" s="95"/>
      <c r="E12" s="96"/>
      <c r="F12" s="96"/>
      <c r="G12" s="96"/>
      <c r="I12" s="58"/>
      <c r="J12" s="58"/>
      <c r="K12" s="58"/>
      <c r="L12" s="59"/>
      <c r="M12" s="59"/>
      <c r="N12" s="59"/>
      <c r="O12" s="60"/>
      <c r="P12" s="124" t="s">
        <v>251</v>
      </c>
      <c r="Q12" s="124"/>
      <c r="R12" s="220">
        <f>R10/1000</f>
        <v>57600</v>
      </c>
      <c r="S12" s="221"/>
      <c r="T12" s="222">
        <f>T10/1000</f>
        <v>44640</v>
      </c>
      <c r="U12" s="222"/>
      <c r="V12" s="222">
        <f>V10/1000</f>
        <v>4320</v>
      </c>
      <c r="W12" s="222"/>
    </row>
    <row r="13" spans="2:29" ht="12" customHeight="1" x14ac:dyDescent="0.25">
      <c r="B13" s="58"/>
      <c r="C13" s="58"/>
      <c r="D13" s="63"/>
      <c r="E13" s="59"/>
      <c r="F13" s="59"/>
      <c r="G13" s="59"/>
      <c r="O13" s="60"/>
      <c r="P13" s="124" t="s">
        <v>252</v>
      </c>
      <c r="Q13" s="124"/>
      <c r="R13" s="220">
        <f>R11/1000</f>
        <v>691200</v>
      </c>
      <c r="S13" s="221"/>
      <c r="T13" s="222">
        <f>T11/1000</f>
        <v>535680</v>
      </c>
      <c r="U13" s="222"/>
      <c r="V13" s="222">
        <f>V11/1000</f>
        <v>51840</v>
      </c>
      <c r="W13" s="222"/>
    </row>
    <row r="14" spans="2:29" x14ac:dyDescent="0.25">
      <c r="B14" s="125" t="s">
        <v>312</v>
      </c>
      <c r="C14" s="125"/>
      <c r="D14" s="125"/>
      <c r="E14" s="175">
        <f>E5-(S20+S32)</f>
        <v>2228448000</v>
      </c>
      <c r="F14" s="175"/>
      <c r="G14" s="175"/>
      <c r="I14" s="88" t="s">
        <v>325</v>
      </c>
      <c r="J14" s="88"/>
      <c r="K14" s="88"/>
      <c r="L14" s="173">
        <f>S17*T11</f>
        <v>903984955.20000005</v>
      </c>
      <c r="M14" s="173"/>
      <c r="N14" s="173"/>
      <c r="O14" s="60"/>
      <c r="P14" s="226" t="s">
        <v>257</v>
      </c>
      <c r="Q14" s="226"/>
      <c r="R14" s="227">
        <f>P7*273612500</f>
        <v>547225000</v>
      </c>
      <c r="S14" s="228"/>
      <c r="T14" s="229">
        <f>273612500*P7</f>
        <v>547225000</v>
      </c>
      <c r="U14" s="229"/>
      <c r="V14" s="232">
        <f>51625000*P7</f>
        <v>103250000</v>
      </c>
      <c r="W14" s="232"/>
    </row>
    <row r="15" spans="2:29" x14ac:dyDescent="0.25">
      <c r="B15" s="125"/>
      <c r="C15" s="125"/>
      <c r="D15" s="125"/>
      <c r="E15" s="175"/>
      <c r="F15" s="175"/>
      <c r="G15" s="175"/>
      <c r="I15" s="88"/>
      <c r="J15" s="88"/>
      <c r="K15" s="88"/>
      <c r="L15" s="173"/>
      <c r="M15" s="173"/>
      <c r="N15" s="173"/>
      <c r="P15" s="226"/>
      <c r="Q15" s="226"/>
      <c r="R15" s="230"/>
      <c r="S15" s="231"/>
      <c r="T15" s="229"/>
      <c r="U15" s="229"/>
      <c r="V15" s="232"/>
      <c r="W15" s="232"/>
    </row>
    <row r="16" spans="2:29" x14ac:dyDescent="0.25">
      <c r="I16" s="88"/>
      <c r="J16" s="88"/>
      <c r="K16" s="88"/>
      <c r="L16" s="173"/>
      <c r="M16" s="173"/>
      <c r="N16" s="173"/>
    </row>
    <row r="17" spans="2:27" x14ac:dyDescent="0.25">
      <c r="B17" s="118" t="s">
        <v>324</v>
      </c>
      <c r="C17" s="118"/>
      <c r="D17" s="118"/>
      <c r="E17" s="119">
        <f>E5-E11-L2-T14</f>
        <v>525773208.96000004</v>
      </c>
      <c r="F17" s="118"/>
      <c r="G17" s="118"/>
      <c r="P17" s="91" t="s">
        <v>334</v>
      </c>
      <c r="Q17" s="91"/>
      <c r="R17" s="91"/>
      <c r="S17" s="122">
        <f>(S20+Y31)/T11</f>
        <v>1.6875465860215055</v>
      </c>
      <c r="T17" s="122"/>
      <c r="U17" s="122"/>
    </row>
    <row r="18" spans="2:27" x14ac:dyDescent="0.25">
      <c r="B18" s="118"/>
      <c r="C18" s="118"/>
      <c r="D18" s="118"/>
      <c r="E18" s="118"/>
      <c r="F18" s="118"/>
      <c r="G18" s="118"/>
      <c r="I18" s="164" t="s">
        <v>326</v>
      </c>
      <c r="J18" s="164"/>
      <c r="K18" s="164"/>
      <c r="L18" s="171">
        <f>E5/L2*100%</f>
        <v>2.1749508974488623</v>
      </c>
      <c r="M18" s="171"/>
      <c r="N18" s="171"/>
      <c r="P18" s="91"/>
      <c r="Q18" s="91"/>
      <c r="R18" s="91"/>
      <c r="S18" s="122"/>
      <c r="T18" s="122"/>
      <c r="U18" s="122"/>
    </row>
    <row r="19" spans="2:27" ht="12.75" customHeight="1" x14ac:dyDescent="0.25">
      <c r="B19" s="52"/>
      <c r="C19" s="52"/>
      <c r="D19" s="52"/>
      <c r="E19" s="52"/>
      <c r="F19" s="52"/>
      <c r="G19" s="52"/>
      <c r="I19" s="164"/>
      <c r="J19" s="164"/>
      <c r="K19" s="164"/>
      <c r="L19" s="171"/>
      <c r="M19" s="171"/>
      <c r="N19" s="171"/>
    </row>
    <row r="20" spans="2:27" x14ac:dyDescent="0.25">
      <c r="B20" s="88" t="s">
        <v>353</v>
      </c>
      <c r="C20" s="88"/>
      <c r="D20" s="88"/>
      <c r="E20" s="174">
        <f>(E8/E5)*100</f>
        <v>34.02195051056264</v>
      </c>
      <c r="F20" s="174"/>
      <c r="G20" s="174"/>
      <c r="P20" s="103" t="s">
        <v>344</v>
      </c>
      <c r="Q20" s="103"/>
      <c r="R20" s="103"/>
      <c r="S20" s="102">
        <f>451992477.6*D5</f>
        <v>903984955.20000005</v>
      </c>
      <c r="T20" s="102"/>
      <c r="U20" s="102"/>
    </row>
    <row r="21" spans="2:27" x14ac:dyDescent="0.25">
      <c r="B21" s="88"/>
      <c r="C21" s="88"/>
      <c r="D21" s="88"/>
      <c r="E21" s="174"/>
      <c r="F21" s="174"/>
      <c r="G21" s="174"/>
      <c r="I21" s="164" t="s">
        <v>321</v>
      </c>
      <c r="J21" s="164"/>
      <c r="K21" s="164"/>
      <c r="L21" s="171">
        <f>E8/E5*100%</f>
        <v>0.34021950510562637</v>
      </c>
      <c r="M21" s="171"/>
      <c r="N21" s="171"/>
      <c r="P21" s="103"/>
      <c r="Q21" s="103"/>
      <c r="R21" s="103"/>
      <c r="S21" s="102"/>
      <c r="T21" s="102"/>
      <c r="U21" s="102"/>
    </row>
    <row r="22" spans="2:27" ht="12.75" customHeight="1" x14ac:dyDescent="0.25">
      <c r="B22" s="52"/>
      <c r="C22" s="52"/>
      <c r="D22" s="52"/>
      <c r="E22" s="52"/>
      <c r="F22" s="52"/>
      <c r="G22" s="52"/>
      <c r="I22" s="164"/>
      <c r="J22" s="164"/>
      <c r="K22" s="164"/>
      <c r="L22" s="171"/>
      <c r="M22" s="171"/>
      <c r="N22" s="171"/>
      <c r="V22" s="104" t="s">
        <v>348</v>
      </c>
      <c r="W22" s="105"/>
      <c r="X22" s="108">
        <f>D29</f>
        <v>0.5</v>
      </c>
      <c r="Y22" s="102">
        <f>(S20/2)*X22</f>
        <v>225996238.80000001</v>
      </c>
      <c r="Z22" s="103"/>
      <c r="AA22" s="103"/>
    </row>
    <row r="23" spans="2:27" ht="12.75" customHeight="1" x14ac:dyDescent="0.25">
      <c r="B23" s="86" t="s">
        <v>339</v>
      </c>
      <c r="C23" s="86"/>
      <c r="D23" s="86"/>
      <c r="E23" s="120">
        <v>1000000000</v>
      </c>
      <c r="F23" s="120"/>
      <c r="G23" s="120"/>
      <c r="P23" s="124" t="s">
        <v>343</v>
      </c>
      <c r="Q23" s="124"/>
      <c r="R23" s="124"/>
      <c r="S23" s="123">
        <f>'Затраты основные (год)'!P41</f>
        <v>121460000</v>
      </c>
      <c r="T23" s="123"/>
      <c r="U23" s="123"/>
      <c r="V23" s="106"/>
      <c r="W23" s="107"/>
      <c r="X23" s="109"/>
      <c r="Y23" s="103"/>
      <c r="Z23" s="103"/>
      <c r="AA23" s="103"/>
    </row>
    <row r="24" spans="2:27" ht="12.75" customHeight="1" x14ac:dyDescent="0.25">
      <c r="B24" s="86"/>
      <c r="C24" s="86"/>
      <c r="D24" s="86"/>
      <c r="E24" s="120"/>
      <c r="F24" s="120"/>
      <c r="G24" s="120"/>
      <c r="I24" s="164" t="s">
        <v>322</v>
      </c>
      <c r="J24" s="164"/>
      <c r="K24" s="164"/>
      <c r="L24" s="168">
        <f>(E8-10%)/L2*100%</f>
        <v>0.73996071789012785</v>
      </c>
      <c r="M24" s="168"/>
      <c r="N24" s="168"/>
      <c r="P24" s="124"/>
      <c r="Q24" s="124"/>
      <c r="R24" s="124"/>
      <c r="S24" s="123"/>
      <c r="T24" s="123"/>
      <c r="U24" s="123"/>
    </row>
    <row r="25" spans="2:27" ht="12.75" customHeight="1" x14ac:dyDescent="0.25">
      <c r="I25" s="164"/>
      <c r="J25" s="164"/>
      <c r="K25" s="164"/>
      <c r="L25" s="168"/>
      <c r="M25" s="168"/>
      <c r="N25" s="168"/>
    </row>
    <row r="26" spans="2:27" ht="12.75" customHeight="1" x14ac:dyDescent="0.25">
      <c r="B26" s="86" t="s">
        <v>338</v>
      </c>
      <c r="C26" s="86"/>
      <c r="D26" s="86"/>
      <c r="E26" s="121">
        <f>E23/E17</f>
        <v>1.9019607369839917</v>
      </c>
      <c r="F26" s="121"/>
      <c r="G26" s="121"/>
      <c r="P26" s="111" t="s">
        <v>345</v>
      </c>
      <c r="Q26" s="111"/>
      <c r="R26" s="111"/>
      <c r="S26" s="112">
        <f>'Затраты основные (год)'!P51</f>
        <v>424629600</v>
      </c>
      <c r="T26" s="112"/>
      <c r="U26" s="112"/>
      <c r="V26" s="111" t="s">
        <v>357</v>
      </c>
      <c r="W26" s="111"/>
      <c r="X26" s="111"/>
      <c r="Y26" s="112">
        <f>S26/2</f>
        <v>212314800</v>
      </c>
      <c r="Z26" s="111"/>
      <c r="AA26" s="111"/>
    </row>
    <row r="27" spans="2:27" x14ac:dyDescent="0.25">
      <c r="B27" s="86"/>
      <c r="C27" s="86"/>
      <c r="D27" s="86"/>
      <c r="E27" s="121"/>
      <c r="F27" s="121"/>
      <c r="G27" s="121"/>
      <c r="I27" s="164" t="s">
        <v>323</v>
      </c>
      <c r="J27" s="164"/>
      <c r="K27" s="164"/>
      <c r="L27" s="168">
        <f>(E8-10%)/L14*100%</f>
        <v>1.1869646753386587</v>
      </c>
      <c r="M27" s="168"/>
      <c r="N27" s="168"/>
      <c r="P27" s="111"/>
      <c r="Q27" s="111"/>
      <c r="R27" s="111"/>
      <c r="S27" s="112"/>
      <c r="T27" s="112"/>
      <c r="U27" s="112"/>
      <c r="V27" s="111"/>
      <c r="W27" s="111"/>
      <c r="X27" s="111"/>
      <c r="Y27" s="111"/>
      <c r="Z27" s="111"/>
      <c r="AA27" s="111"/>
    </row>
    <row r="28" spans="2:27" x14ac:dyDescent="0.25">
      <c r="I28" s="164"/>
      <c r="J28" s="164"/>
      <c r="K28" s="164"/>
      <c r="L28" s="168"/>
      <c r="M28" s="168"/>
      <c r="N28" s="168"/>
      <c r="P28" s="60"/>
      <c r="Q28" s="60"/>
      <c r="R28" s="62"/>
      <c r="S28" s="62"/>
      <c r="T28" s="62"/>
    </row>
    <row r="29" spans="2:27" ht="12.75" customHeight="1" x14ac:dyDescent="0.25">
      <c r="B29" s="97" t="s">
        <v>349</v>
      </c>
      <c r="C29" s="97"/>
      <c r="D29" s="98">
        <v>0.5</v>
      </c>
      <c r="E29" s="99">
        <f>E5*D29</f>
        <v>1576920477.6000001</v>
      </c>
      <c r="F29" s="99"/>
      <c r="G29" s="99"/>
      <c r="P29" s="90" t="s">
        <v>346</v>
      </c>
      <c r="Q29" s="90"/>
      <c r="R29" s="90"/>
      <c r="S29" s="113">
        <f>S26-T14</f>
        <v>-122595400</v>
      </c>
      <c r="T29" s="90"/>
      <c r="U29" s="90"/>
      <c r="V29" s="90" t="s">
        <v>358</v>
      </c>
      <c r="W29" s="90"/>
      <c r="X29" s="90"/>
      <c r="Y29" s="113">
        <f>S29/2</f>
        <v>-61297700</v>
      </c>
      <c r="Z29" s="90"/>
      <c r="AA29" s="90"/>
    </row>
    <row r="30" spans="2:27" x14ac:dyDescent="0.25">
      <c r="B30" s="97"/>
      <c r="C30" s="97"/>
      <c r="D30" s="98"/>
      <c r="E30" s="99"/>
      <c r="F30" s="99"/>
      <c r="G30" s="99"/>
      <c r="I30" s="164" t="s">
        <v>327</v>
      </c>
      <c r="J30" s="164"/>
      <c r="K30" s="164"/>
      <c r="L30" s="168">
        <f>(E8/500000000)*100%</f>
        <v>2.1459964179200002</v>
      </c>
      <c r="M30" s="168"/>
      <c r="N30" s="168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2:27" ht="12.75" customHeight="1" x14ac:dyDescent="0.25">
      <c r="B31" s="97"/>
      <c r="C31" s="97"/>
      <c r="D31" s="98"/>
      <c r="E31" s="99"/>
      <c r="F31" s="99"/>
      <c r="G31" s="99"/>
      <c r="I31" s="164"/>
      <c r="J31" s="164"/>
      <c r="K31" s="164"/>
      <c r="L31" s="168"/>
      <c r="M31" s="168"/>
      <c r="N31" s="168"/>
      <c r="V31" s="60"/>
      <c r="W31" s="60"/>
      <c r="X31" s="60"/>
      <c r="Y31" s="61"/>
      <c r="Z31" s="61"/>
      <c r="AA31" s="61"/>
    </row>
    <row r="32" spans="2:27" x14ac:dyDescent="0.25">
      <c r="P32" s="103" t="s">
        <v>341</v>
      </c>
      <c r="Q32" s="103"/>
      <c r="R32" s="103"/>
      <c r="S32" s="102">
        <f>10704000*D5</f>
        <v>21408000</v>
      </c>
      <c r="T32" s="102"/>
      <c r="U32" s="102"/>
      <c r="V32" s="103" t="s">
        <v>347</v>
      </c>
      <c r="W32" s="103"/>
      <c r="X32" s="110">
        <f>D29</f>
        <v>0.5</v>
      </c>
      <c r="Y32" s="102">
        <f>(S32/2)*X32</f>
        <v>5352000</v>
      </c>
      <c r="Z32" s="102"/>
      <c r="AA32" s="102"/>
    </row>
    <row r="33" spans="2:27" x14ac:dyDescent="0.25">
      <c r="B33" s="77" t="s">
        <v>350</v>
      </c>
      <c r="C33" s="77"/>
      <c r="D33" s="100">
        <f>D29</f>
        <v>0.5</v>
      </c>
      <c r="E33" s="101">
        <f>(E5-E11-L2)*D33</f>
        <v>536499104.48000002</v>
      </c>
      <c r="F33" s="77"/>
      <c r="G33" s="77"/>
      <c r="I33" s="164" t="s">
        <v>328</v>
      </c>
      <c r="J33" s="164"/>
      <c r="K33" s="164"/>
      <c r="L33" s="168">
        <f>(E8/(500000000))*100%</f>
        <v>2.1459964179200002</v>
      </c>
      <c r="M33" s="168"/>
      <c r="N33" s="168"/>
      <c r="P33" s="103"/>
      <c r="Q33" s="103"/>
      <c r="R33" s="103"/>
      <c r="S33" s="102"/>
      <c r="T33" s="102"/>
      <c r="U33" s="102"/>
      <c r="V33" s="103"/>
      <c r="W33" s="103"/>
      <c r="X33" s="110"/>
      <c r="Y33" s="102"/>
      <c r="Z33" s="102"/>
      <c r="AA33" s="102"/>
    </row>
    <row r="34" spans="2:27" ht="12.75" customHeight="1" x14ac:dyDescent="0.25">
      <c r="B34" s="77"/>
      <c r="C34" s="77"/>
      <c r="D34" s="77"/>
      <c r="E34" s="77"/>
      <c r="F34" s="77"/>
      <c r="G34" s="77"/>
      <c r="I34" s="164"/>
      <c r="J34" s="164"/>
      <c r="K34" s="164"/>
      <c r="L34" s="168"/>
      <c r="M34" s="168"/>
      <c r="N34" s="168"/>
    </row>
    <row r="35" spans="2:27" ht="12.75" customHeight="1" x14ac:dyDescent="0.25">
      <c r="B35" s="58"/>
      <c r="C35" s="58"/>
      <c r="D35" s="58"/>
      <c r="E35" s="58"/>
      <c r="F35" s="58"/>
      <c r="G35" s="58"/>
      <c r="P35" s="91" t="s">
        <v>359</v>
      </c>
      <c r="Q35" s="91"/>
      <c r="R35" s="92">
        <f>D29</f>
        <v>0.5</v>
      </c>
      <c r="S35" s="93">
        <f>((S20/2)+(S23/2)+(S29/2)+T14)*R35</f>
        <v>499324888.80000001</v>
      </c>
      <c r="T35" s="93"/>
      <c r="U35" s="93"/>
      <c r="V35" s="91" t="s">
        <v>360</v>
      </c>
      <c r="W35" s="91"/>
      <c r="X35" s="92">
        <f>D29</f>
        <v>0.5</v>
      </c>
      <c r="Y35" s="93">
        <f>(Y22+Y29+Y32)</f>
        <v>170050538.80000001</v>
      </c>
      <c r="Z35" s="93"/>
      <c r="AA35" s="93"/>
    </row>
    <row r="36" spans="2:27" x14ac:dyDescent="0.25">
      <c r="B36" s="143" t="s">
        <v>355</v>
      </c>
      <c r="C36" s="144"/>
      <c r="D36" s="153">
        <f>D29</f>
        <v>0.5</v>
      </c>
      <c r="E36" s="147">
        <f>(E29*D11)*D36</f>
        <v>157692047.76000002</v>
      </c>
      <c r="F36" s="148"/>
      <c r="G36" s="149"/>
      <c r="I36" s="125" t="s">
        <v>330</v>
      </c>
      <c r="J36" s="125"/>
      <c r="K36" s="125"/>
      <c r="L36" s="163">
        <f>E2/S2</f>
        <v>4.3714890858936934</v>
      </c>
      <c r="M36" s="163"/>
      <c r="N36" s="163"/>
      <c r="O36" s="60"/>
      <c r="P36" s="91"/>
      <c r="Q36" s="91"/>
      <c r="R36" s="91"/>
      <c r="S36" s="93"/>
      <c r="T36" s="93"/>
      <c r="U36" s="93"/>
      <c r="V36" s="91"/>
      <c r="W36" s="91"/>
      <c r="X36" s="91"/>
      <c r="Y36" s="93"/>
      <c r="Z36" s="93"/>
      <c r="AA36" s="93"/>
    </row>
    <row r="37" spans="2:27" ht="12.75" customHeight="1" x14ac:dyDescent="0.25">
      <c r="B37" s="145"/>
      <c r="C37" s="146"/>
      <c r="D37" s="154"/>
      <c r="E37" s="150"/>
      <c r="F37" s="151"/>
      <c r="G37" s="152"/>
      <c r="I37" s="125"/>
      <c r="J37" s="125"/>
      <c r="K37" s="125"/>
      <c r="L37" s="163"/>
      <c r="M37" s="163"/>
      <c r="N37" s="163"/>
      <c r="O37" s="60"/>
      <c r="P37" s="91"/>
      <c r="Q37" s="91"/>
      <c r="R37" s="91"/>
      <c r="S37" s="93"/>
      <c r="T37" s="93"/>
      <c r="U37" s="93"/>
      <c r="V37" s="91"/>
      <c r="W37" s="91"/>
      <c r="X37" s="91"/>
      <c r="Y37" s="93"/>
      <c r="Z37" s="93"/>
      <c r="AA37" s="93"/>
    </row>
    <row r="38" spans="2:27" ht="12.75" customHeight="1" x14ac:dyDescent="0.25">
      <c r="O38" s="60"/>
      <c r="P38" s="60"/>
      <c r="Q38" s="60"/>
      <c r="R38" s="60"/>
      <c r="S38" s="61"/>
      <c r="T38" s="60"/>
      <c r="U38" s="60"/>
      <c r="V38" s="60"/>
      <c r="W38" s="60"/>
      <c r="X38" s="64"/>
      <c r="Y38" s="61"/>
      <c r="Z38" s="60"/>
      <c r="AA38" s="60"/>
    </row>
    <row r="39" spans="2:27" ht="12.75" customHeight="1" x14ac:dyDescent="0.25">
      <c r="B39" s="118" t="s">
        <v>351</v>
      </c>
      <c r="C39" s="118"/>
      <c r="D39" s="142">
        <f>D29</f>
        <v>0.5</v>
      </c>
      <c r="E39" s="119">
        <f>(E5-E11-T14-L2)*D39</f>
        <v>262886604.48000002</v>
      </c>
      <c r="F39" s="119"/>
      <c r="G39" s="119"/>
      <c r="I39" s="125" t="s">
        <v>331</v>
      </c>
      <c r="J39" s="125"/>
      <c r="K39" s="125"/>
      <c r="L39" s="126">
        <f>365/L36</f>
        <v>83.495576181995787</v>
      </c>
      <c r="M39" s="127"/>
      <c r="N39" s="128"/>
      <c r="O39" s="60"/>
      <c r="P39" s="60"/>
      <c r="Q39" s="60"/>
      <c r="R39" s="60"/>
      <c r="S39" s="60"/>
      <c r="T39" s="60"/>
      <c r="U39" s="60"/>
      <c r="V39" s="60"/>
      <c r="W39" s="60"/>
      <c r="X39" s="64"/>
      <c r="Y39" s="60"/>
      <c r="Z39" s="60"/>
      <c r="AA39" s="60"/>
    </row>
    <row r="40" spans="2:27" ht="12.75" customHeight="1" x14ac:dyDescent="0.25">
      <c r="B40" s="118"/>
      <c r="C40" s="118"/>
      <c r="D40" s="118"/>
      <c r="E40" s="119"/>
      <c r="F40" s="119"/>
      <c r="G40" s="119"/>
      <c r="I40" s="125"/>
      <c r="J40" s="125"/>
      <c r="K40" s="125"/>
      <c r="L40" s="129"/>
      <c r="M40" s="130"/>
      <c r="N40" s="131"/>
      <c r="O40" s="60"/>
      <c r="P40" s="88" t="s">
        <v>361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</row>
    <row r="41" spans="2:27" x14ac:dyDescent="0.25"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</row>
    <row r="42" spans="2:27" x14ac:dyDescent="0.25">
      <c r="B42" s="139" t="s">
        <v>356</v>
      </c>
      <c r="C42" s="139"/>
      <c r="D42" s="140">
        <f>D29</f>
        <v>0.5</v>
      </c>
      <c r="E42" s="141">
        <f>E23/E39</f>
        <v>3.8039214739679834</v>
      </c>
      <c r="F42" s="141"/>
      <c r="G42" s="141"/>
      <c r="I42" s="60"/>
      <c r="J42" s="60"/>
      <c r="K42" s="60"/>
      <c r="L42" s="61"/>
      <c r="M42" s="60"/>
      <c r="N42" s="60"/>
      <c r="P42" s="88" t="s">
        <v>245</v>
      </c>
      <c r="Q42" s="88"/>
      <c r="R42" s="88"/>
      <c r="S42" s="88"/>
      <c r="T42" s="88"/>
      <c r="U42" s="88"/>
      <c r="V42" s="88" t="s">
        <v>362</v>
      </c>
      <c r="W42" s="88"/>
      <c r="X42" s="88"/>
      <c r="Y42" s="88" t="s">
        <v>363</v>
      </c>
      <c r="Z42" s="88"/>
      <c r="AA42" s="88"/>
    </row>
    <row r="43" spans="2:27" ht="12.75" customHeight="1" x14ac:dyDescent="0.25">
      <c r="B43" s="139"/>
      <c r="C43" s="139"/>
      <c r="D43" s="139"/>
      <c r="E43" s="141"/>
      <c r="F43" s="141"/>
      <c r="G43" s="141"/>
      <c r="I43" s="60"/>
      <c r="J43" s="60"/>
      <c r="K43" s="60"/>
      <c r="L43" s="60"/>
      <c r="M43" s="60"/>
      <c r="N43" s="60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2:27" x14ac:dyDescent="0.25">
      <c r="P44" s="89" t="s">
        <v>364</v>
      </c>
      <c r="Q44" s="89"/>
      <c r="R44" s="89"/>
      <c r="S44" s="89"/>
      <c r="T44" s="89"/>
      <c r="U44" s="89"/>
      <c r="V44" s="84" t="s">
        <v>365</v>
      </c>
      <c r="W44" s="84"/>
      <c r="X44" s="84"/>
      <c r="Y44" s="87">
        <f>SUM('Затраты основные (год)'!D56:D72)*3</f>
        <v>225996238.79999998</v>
      </c>
      <c r="Z44" s="87"/>
      <c r="AA44" s="87"/>
    </row>
    <row r="45" spans="2:27" x14ac:dyDescent="0.25">
      <c r="B45" s="135" t="s">
        <v>352</v>
      </c>
      <c r="C45" s="136"/>
      <c r="D45" s="137">
        <f>D29</f>
        <v>0.5</v>
      </c>
      <c r="E45" s="138">
        <f>L2*D45</f>
        <v>725037277.60000014</v>
      </c>
      <c r="F45" s="136"/>
      <c r="G45" s="136"/>
      <c r="P45" s="89"/>
      <c r="Q45" s="89"/>
      <c r="R45" s="89"/>
      <c r="S45" s="89"/>
      <c r="T45" s="89"/>
      <c r="U45" s="89"/>
      <c r="V45" s="84"/>
      <c r="W45" s="84"/>
      <c r="X45" s="84"/>
      <c r="Y45" s="87"/>
      <c r="Z45" s="87"/>
      <c r="AA45" s="87"/>
    </row>
    <row r="46" spans="2:27" ht="12.75" customHeight="1" x14ac:dyDescent="0.25">
      <c r="B46" s="135"/>
      <c r="C46" s="136"/>
      <c r="D46" s="137"/>
      <c r="E46" s="136"/>
      <c r="F46" s="136"/>
      <c r="G46" s="136"/>
      <c r="P46" s="97" t="s">
        <v>366</v>
      </c>
      <c r="Q46" s="97"/>
      <c r="R46" s="97"/>
      <c r="S46" s="97"/>
      <c r="T46" s="97"/>
      <c r="U46" s="97"/>
      <c r="V46" s="84" t="s">
        <v>367</v>
      </c>
      <c r="W46" s="84"/>
      <c r="X46" s="84"/>
      <c r="Y46" s="85">
        <f>T14</f>
        <v>547225000</v>
      </c>
      <c r="Z46" s="74"/>
      <c r="AA46" s="74"/>
    </row>
    <row r="47" spans="2:27" x14ac:dyDescent="0.25">
      <c r="P47" s="97"/>
      <c r="Q47" s="97"/>
      <c r="R47" s="97"/>
      <c r="S47" s="97"/>
      <c r="T47" s="97"/>
      <c r="U47" s="97"/>
      <c r="V47" s="84"/>
      <c r="W47" s="84"/>
      <c r="X47" s="84"/>
      <c r="Y47" s="74"/>
      <c r="Z47" s="74"/>
      <c r="AA47" s="74"/>
    </row>
    <row r="48" spans="2:27" x14ac:dyDescent="0.25">
      <c r="B48" s="132" t="s">
        <v>354</v>
      </c>
      <c r="C48" s="132"/>
      <c r="D48" s="133">
        <f>D29</f>
        <v>0.5</v>
      </c>
      <c r="E48" s="134">
        <f>((E39/E45)*D48)*100</f>
        <v>18.129178498945635</v>
      </c>
      <c r="F48" s="134"/>
      <c r="G48" s="134"/>
      <c r="P48" s="86" t="s">
        <v>368</v>
      </c>
      <c r="Q48" s="86"/>
      <c r="R48" s="86"/>
      <c r="S48" s="86"/>
      <c r="T48" s="86"/>
      <c r="U48" s="86"/>
      <c r="V48" s="84" t="s">
        <v>365</v>
      </c>
      <c r="W48" s="84"/>
      <c r="X48" s="84"/>
      <c r="Y48" s="87">
        <f>SUM('Затраты основные (год)'!D8)*3</f>
        <v>15000000</v>
      </c>
      <c r="Z48" s="87"/>
      <c r="AA48" s="87"/>
    </row>
    <row r="49" spans="2:27" x14ac:dyDescent="0.25">
      <c r="B49" s="132"/>
      <c r="C49" s="132"/>
      <c r="D49" s="132"/>
      <c r="E49" s="134"/>
      <c r="F49" s="134"/>
      <c r="G49" s="134"/>
      <c r="P49" s="86"/>
      <c r="Q49" s="86"/>
      <c r="R49" s="86"/>
      <c r="S49" s="86"/>
      <c r="T49" s="86"/>
      <c r="U49" s="86"/>
      <c r="V49" s="84"/>
      <c r="W49" s="84"/>
      <c r="X49" s="84"/>
      <c r="Y49" s="87"/>
      <c r="Z49" s="87"/>
      <c r="AA49" s="87"/>
    </row>
    <row r="50" spans="2:27" x14ac:dyDescent="0.25">
      <c r="P50" s="77" t="s">
        <v>369</v>
      </c>
      <c r="Q50" s="77"/>
      <c r="R50" s="77"/>
      <c r="S50" s="77"/>
      <c r="T50" s="77"/>
      <c r="U50" s="77"/>
      <c r="V50" s="77" t="s">
        <v>365</v>
      </c>
      <c r="W50" s="77"/>
      <c r="X50" s="77"/>
      <c r="Y50" s="78">
        <f>SUM('Затраты основные (год)'!E41)*3</f>
        <v>30114999.999999996</v>
      </c>
      <c r="Z50" s="78"/>
      <c r="AA50" s="78"/>
    </row>
    <row r="51" spans="2:27" x14ac:dyDescent="0.25">
      <c r="P51" s="77"/>
      <c r="Q51" s="77"/>
      <c r="R51" s="77"/>
      <c r="S51" s="77"/>
      <c r="T51" s="77"/>
      <c r="U51" s="77"/>
      <c r="V51" s="77"/>
      <c r="W51" s="77"/>
      <c r="X51" s="77"/>
      <c r="Y51" s="78"/>
      <c r="Z51" s="78"/>
      <c r="AA51" s="78"/>
    </row>
    <row r="52" spans="2:27" x14ac:dyDescent="0.25">
      <c r="P52" s="77" t="s">
        <v>370</v>
      </c>
      <c r="Q52" s="77"/>
      <c r="R52" s="77"/>
      <c r="S52" s="77"/>
      <c r="T52" s="77"/>
      <c r="U52" s="77"/>
      <c r="V52" s="77" t="s">
        <v>365</v>
      </c>
      <c r="W52" s="77"/>
      <c r="X52" s="77"/>
      <c r="Y52" s="78">
        <f>SUM('Затраты основные (год)'!E51:G51)</f>
        <v>40500000</v>
      </c>
      <c r="Z52" s="78"/>
      <c r="AA52" s="78"/>
    </row>
    <row r="53" spans="2:27" x14ac:dyDescent="0.25">
      <c r="P53" s="77"/>
      <c r="Q53" s="77"/>
      <c r="R53" s="77"/>
      <c r="S53" s="77"/>
      <c r="T53" s="77"/>
      <c r="U53" s="77"/>
      <c r="V53" s="77"/>
      <c r="W53" s="77"/>
      <c r="X53" s="77"/>
      <c r="Y53" s="78"/>
      <c r="Z53" s="78"/>
      <c r="AA53" s="78"/>
    </row>
    <row r="54" spans="2:27" x14ac:dyDescent="0.25">
      <c r="P54" s="77" t="s">
        <v>371</v>
      </c>
      <c r="Q54" s="77"/>
      <c r="R54" s="77"/>
      <c r="S54" s="77"/>
      <c r="T54" s="77"/>
      <c r="U54" s="77"/>
      <c r="V54" s="77" t="s">
        <v>372</v>
      </c>
      <c r="W54" s="77"/>
      <c r="X54" s="77"/>
      <c r="Y54" s="78">
        <f>12000000</f>
        <v>12000000</v>
      </c>
      <c r="Z54" s="78"/>
      <c r="AA54" s="78"/>
    </row>
    <row r="55" spans="2:27" x14ac:dyDescent="0.25">
      <c r="P55" s="77"/>
      <c r="Q55" s="77"/>
      <c r="R55" s="77"/>
      <c r="S55" s="77"/>
      <c r="T55" s="77"/>
      <c r="U55" s="77"/>
      <c r="V55" s="77"/>
      <c r="W55" s="77"/>
      <c r="X55" s="77"/>
      <c r="Y55" s="78"/>
      <c r="Z55" s="78"/>
      <c r="AA55" s="78"/>
    </row>
    <row r="56" spans="2:27" x14ac:dyDescent="0.25">
      <c r="P56" s="79" t="s">
        <v>250</v>
      </c>
      <c r="Q56" s="79"/>
      <c r="R56" s="79"/>
      <c r="S56" s="79"/>
      <c r="T56" s="79"/>
      <c r="U56" s="79"/>
      <c r="V56" s="79"/>
      <c r="W56" s="79"/>
      <c r="X56" s="79"/>
      <c r="Y56" s="80">
        <f>SUM(Y44:AA55)</f>
        <v>870836238.79999995</v>
      </c>
      <c r="Z56" s="81"/>
      <c r="AA56" s="81"/>
    </row>
    <row r="57" spans="2:27" x14ac:dyDescent="0.25">
      <c r="P57" s="79"/>
      <c r="Q57" s="79"/>
      <c r="R57" s="79"/>
      <c r="S57" s="79"/>
      <c r="T57" s="79"/>
      <c r="U57" s="79"/>
      <c r="V57" s="79"/>
      <c r="W57" s="79"/>
      <c r="X57" s="79"/>
      <c r="Y57" s="81"/>
      <c r="Z57" s="81"/>
      <c r="AA57" s="81"/>
    </row>
  </sheetData>
  <mergeCells count="156">
    <mergeCell ref="V7:W7"/>
    <mergeCell ref="V8:W8"/>
    <mergeCell ref="V9:W9"/>
    <mergeCell ref="V10:W10"/>
    <mergeCell ref="V11:W11"/>
    <mergeCell ref="V12:W12"/>
    <mergeCell ref="V13:W13"/>
    <mergeCell ref="V14:W15"/>
    <mergeCell ref="B2:D3"/>
    <mergeCell ref="E2:G3"/>
    <mergeCell ref="I8:K9"/>
    <mergeCell ref="L8:N9"/>
    <mergeCell ref="I4:K5"/>
    <mergeCell ref="L4:N5"/>
    <mergeCell ref="I14:K16"/>
    <mergeCell ref="L14:N16"/>
    <mergeCell ref="B20:D21"/>
    <mergeCell ref="E20:G21"/>
    <mergeCell ref="B17:D18"/>
    <mergeCell ref="E17:G18"/>
    <mergeCell ref="B14:D15"/>
    <mergeCell ref="E14:G15"/>
    <mergeCell ref="I21:K22"/>
    <mergeCell ref="L21:N22"/>
    <mergeCell ref="P2:R3"/>
    <mergeCell ref="S2:U3"/>
    <mergeCell ref="I18:K19"/>
    <mergeCell ref="L18:N19"/>
    <mergeCell ref="T7:U7"/>
    <mergeCell ref="T8:U8"/>
    <mergeCell ref="R9:S9"/>
    <mergeCell ref="T9:U9"/>
    <mergeCell ref="P10:Q10"/>
    <mergeCell ref="R10:S10"/>
    <mergeCell ref="I2:K3"/>
    <mergeCell ref="L2:N3"/>
    <mergeCell ref="E5:G6"/>
    <mergeCell ref="B5:C6"/>
    <mergeCell ref="D5:D6"/>
    <mergeCell ref="B8:D9"/>
    <mergeCell ref="E8:G9"/>
    <mergeCell ref="P6:Q6"/>
    <mergeCell ref="P7:Q7"/>
    <mergeCell ref="P8:Q8"/>
    <mergeCell ref="P9:Q9"/>
    <mergeCell ref="T10:U10"/>
    <mergeCell ref="P11:Q11"/>
    <mergeCell ref="R11:S11"/>
    <mergeCell ref="T11:U11"/>
    <mergeCell ref="P12:Q12"/>
    <mergeCell ref="R12:S12"/>
    <mergeCell ref="T12:U12"/>
    <mergeCell ref="I36:K37"/>
    <mergeCell ref="L36:N37"/>
    <mergeCell ref="I27:K28"/>
    <mergeCell ref="L27:N28"/>
    <mergeCell ref="I30:K31"/>
    <mergeCell ref="L30:N31"/>
    <mergeCell ref="I33:K34"/>
    <mergeCell ref="L33:N34"/>
    <mergeCell ref="I24:K25"/>
    <mergeCell ref="L24:N25"/>
    <mergeCell ref="I39:K40"/>
    <mergeCell ref="L39:N40"/>
    <mergeCell ref="S26:U27"/>
    <mergeCell ref="P54:U55"/>
    <mergeCell ref="P50:U51"/>
    <mergeCell ref="B48:C49"/>
    <mergeCell ref="D48:D49"/>
    <mergeCell ref="E48:G49"/>
    <mergeCell ref="B45:C46"/>
    <mergeCell ref="D45:D46"/>
    <mergeCell ref="E45:G46"/>
    <mergeCell ref="P46:U47"/>
    <mergeCell ref="B42:C43"/>
    <mergeCell ref="D42:D43"/>
    <mergeCell ref="E42:G43"/>
    <mergeCell ref="P40:AA41"/>
    <mergeCell ref="B39:C40"/>
    <mergeCell ref="D39:D40"/>
    <mergeCell ref="E39:G40"/>
    <mergeCell ref="B36:C37"/>
    <mergeCell ref="E36:G37"/>
    <mergeCell ref="D36:D37"/>
    <mergeCell ref="P42:U43"/>
    <mergeCell ref="R8:S8"/>
    <mergeCell ref="R7:S7"/>
    <mergeCell ref="I10:K11"/>
    <mergeCell ref="L10:N11"/>
    <mergeCell ref="P32:R33"/>
    <mergeCell ref="S32:U33"/>
    <mergeCell ref="B23:D24"/>
    <mergeCell ref="E23:G24"/>
    <mergeCell ref="B26:D27"/>
    <mergeCell ref="E26:G27"/>
    <mergeCell ref="P26:R27"/>
    <mergeCell ref="P29:R30"/>
    <mergeCell ref="S29:U30"/>
    <mergeCell ref="P17:R18"/>
    <mergeCell ref="S17:U18"/>
    <mergeCell ref="P20:R21"/>
    <mergeCell ref="S20:U21"/>
    <mergeCell ref="S23:U24"/>
    <mergeCell ref="P23:R24"/>
    <mergeCell ref="P13:Q13"/>
    <mergeCell ref="R13:S13"/>
    <mergeCell ref="T13:U13"/>
    <mergeCell ref="P14:Q15"/>
    <mergeCell ref="R14:S15"/>
    <mergeCell ref="S35:U37"/>
    <mergeCell ref="V35:W37"/>
    <mergeCell ref="X35:X37"/>
    <mergeCell ref="Y35:AA37"/>
    <mergeCell ref="B11:C12"/>
    <mergeCell ref="D11:D12"/>
    <mergeCell ref="E11:G12"/>
    <mergeCell ref="B29:C31"/>
    <mergeCell ref="D29:D31"/>
    <mergeCell ref="E29:G31"/>
    <mergeCell ref="B33:C34"/>
    <mergeCell ref="D33:D34"/>
    <mergeCell ref="E33:G34"/>
    <mergeCell ref="Y22:AA23"/>
    <mergeCell ref="V22:W23"/>
    <mergeCell ref="X22:X23"/>
    <mergeCell ref="V32:W33"/>
    <mergeCell ref="X32:X33"/>
    <mergeCell ref="Y32:AA33"/>
    <mergeCell ref="V26:X27"/>
    <mergeCell ref="Y26:AA27"/>
    <mergeCell ref="Y29:AA30"/>
    <mergeCell ref="T14:U15"/>
    <mergeCell ref="V54:X55"/>
    <mergeCell ref="Y54:AA55"/>
    <mergeCell ref="P56:X57"/>
    <mergeCell ref="Y56:AA57"/>
    <mergeCell ref="X3:Z4"/>
    <mergeCell ref="AA3:AC4"/>
    <mergeCell ref="V50:X51"/>
    <mergeCell ref="Y50:AA51"/>
    <mergeCell ref="P52:U53"/>
    <mergeCell ref="V52:X53"/>
    <mergeCell ref="Y52:AA53"/>
    <mergeCell ref="V46:X47"/>
    <mergeCell ref="Y46:AA47"/>
    <mergeCell ref="P48:U49"/>
    <mergeCell ref="V48:X49"/>
    <mergeCell ref="Y48:AA49"/>
    <mergeCell ref="V42:X43"/>
    <mergeCell ref="Y42:AA43"/>
    <mergeCell ref="P44:U45"/>
    <mergeCell ref="V44:X45"/>
    <mergeCell ref="Y44:AA45"/>
    <mergeCell ref="V29:X30"/>
    <mergeCell ref="P35:Q37"/>
    <mergeCell ref="R35:R3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4"/>
  <sheetViews>
    <sheetView workbookViewId="0">
      <selection activeCell="I9" sqref="I9"/>
    </sheetView>
  </sheetViews>
  <sheetFormatPr defaultRowHeight="15" x14ac:dyDescent="0.25"/>
  <sheetData>
    <row r="3" spans="2:22" x14ac:dyDescent="0.25">
      <c r="B3" s="169" t="s">
        <v>228</v>
      </c>
      <c r="C3" s="169"/>
      <c r="D3" s="57"/>
      <c r="E3" s="57"/>
    </row>
    <row r="4" spans="2:22" x14ac:dyDescent="0.25">
      <c r="B4" s="74">
        <v>1</v>
      </c>
      <c r="C4" s="74"/>
      <c r="D4" s="219" t="s">
        <v>375</v>
      </c>
      <c r="E4" s="219"/>
    </row>
    <row r="5" spans="2:22" x14ac:dyDescent="0.25">
      <c r="B5" s="169" t="s">
        <v>260</v>
      </c>
      <c r="C5" s="169"/>
      <c r="D5" s="222">
        <f>3000*B4</f>
        <v>3000</v>
      </c>
      <c r="E5" s="222"/>
    </row>
    <row r="6" spans="2:22" x14ac:dyDescent="0.25">
      <c r="B6" s="169" t="s">
        <v>261</v>
      </c>
      <c r="C6" s="169"/>
      <c r="D6" s="222">
        <f>D5*24</f>
        <v>72000</v>
      </c>
      <c r="E6" s="222"/>
    </row>
    <row r="7" spans="2:22" x14ac:dyDescent="0.25">
      <c r="B7" s="169" t="s">
        <v>262</v>
      </c>
      <c r="C7" s="169"/>
      <c r="D7" s="222">
        <f>D6*30</f>
        <v>2160000</v>
      </c>
      <c r="E7" s="222"/>
    </row>
    <row r="8" spans="2:22" x14ac:dyDescent="0.25">
      <c r="B8" s="139" t="s">
        <v>263</v>
      </c>
      <c r="C8" s="139"/>
      <c r="D8" s="225">
        <f>D7*12</f>
        <v>25920000</v>
      </c>
      <c r="E8" s="225"/>
    </row>
    <row r="9" spans="2:22" x14ac:dyDescent="0.25">
      <c r="B9" s="124" t="s">
        <v>251</v>
      </c>
      <c r="C9" s="124"/>
      <c r="D9" s="222">
        <f>D7/1000</f>
        <v>2160</v>
      </c>
      <c r="E9" s="222"/>
    </row>
    <row r="10" spans="2:22" x14ac:dyDescent="0.25">
      <c r="B10" s="124" t="s">
        <v>252</v>
      </c>
      <c r="C10" s="124"/>
      <c r="D10" s="222">
        <f>D8/1000</f>
        <v>25920</v>
      </c>
      <c r="E10" s="222"/>
    </row>
    <row r="11" spans="2:22" x14ac:dyDescent="0.25">
      <c r="B11" s="226" t="s">
        <v>257</v>
      </c>
      <c r="C11" s="226"/>
      <c r="D11" s="232">
        <f>51625000*B4</f>
        <v>51625000</v>
      </c>
      <c r="E11" s="232"/>
    </row>
    <row r="12" spans="2:22" x14ac:dyDescent="0.25">
      <c r="B12" s="226"/>
      <c r="C12" s="226"/>
      <c r="D12" s="232"/>
      <c r="E12" s="232"/>
    </row>
    <row r="14" spans="2:22" x14ac:dyDescent="0.25">
      <c r="B14" s="197" t="s">
        <v>290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202" t="s">
        <v>288</v>
      </c>
      <c r="U14" s="202"/>
      <c r="V14" s="203">
        <v>1</v>
      </c>
    </row>
    <row r="15" spans="2:22" x14ac:dyDescent="0.25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202"/>
      <c r="U15" s="202"/>
      <c r="V15" s="203"/>
    </row>
    <row r="16" spans="2:22" x14ac:dyDescent="0.25">
      <c r="B16" s="56" t="s">
        <v>258</v>
      </c>
      <c r="C16" s="196" t="s">
        <v>272</v>
      </c>
      <c r="D16" s="196"/>
      <c r="E16" s="196"/>
      <c r="F16" s="196" t="s">
        <v>269</v>
      </c>
      <c r="G16" s="196"/>
      <c r="H16" s="196" t="s">
        <v>264</v>
      </c>
      <c r="I16" s="196"/>
      <c r="J16" s="196" t="s">
        <v>273</v>
      </c>
      <c r="K16" s="196"/>
      <c r="L16" s="196"/>
      <c r="M16" s="196" t="s">
        <v>274</v>
      </c>
      <c r="N16" s="196"/>
      <c r="O16" s="196"/>
      <c r="P16" s="196" t="s">
        <v>270</v>
      </c>
      <c r="Q16" s="196"/>
      <c r="R16" s="196" t="s">
        <v>271</v>
      </c>
      <c r="S16" s="196"/>
      <c r="T16" s="20"/>
      <c r="U16" s="20"/>
      <c r="V16" s="20"/>
    </row>
    <row r="17" spans="2:22" x14ac:dyDescent="0.25">
      <c r="B17" s="56">
        <v>1</v>
      </c>
      <c r="C17" s="196" t="s">
        <v>275</v>
      </c>
      <c r="D17" s="196"/>
      <c r="E17" s="196"/>
      <c r="F17" s="196">
        <v>1E-4</v>
      </c>
      <c r="G17" s="196"/>
      <c r="H17" s="196">
        <v>300</v>
      </c>
      <c r="I17" s="196"/>
      <c r="J17" s="198">
        <f>F17*744000*V14</f>
        <v>74.400000000000006</v>
      </c>
      <c r="K17" s="198"/>
      <c r="L17" s="198"/>
      <c r="M17" s="198">
        <f t="shared" ref="M17:M33" si="0">J17*30</f>
        <v>2232</v>
      </c>
      <c r="N17" s="198"/>
      <c r="O17" s="198"/>
      <c r="P17" s="198">
        <f t="shared" ref="P17:P33" si="1">M17*H17</f>
        <v>669600</v>
      </c>
      <c r="Q17" s="198"/>
      <c r="R17" s="198">
        <f t="shared" ref="R17:R34" si="2">P17*12</f>
        <v>8035200</v>
      </c>
      <c r="S17" s="198"/>
      <c r="T17" s="20"/>
      <c r="U17" s="20"/>
      <c r="V17" s="20"/>
    </row>
    <row r="18" spans="2:22" x14ac:dyDescent="0.25">
      <c r="B18" s="56">
        <v>2</v>
      </c>
      <c r="C18" s="196" t="s">
        <v>276</v>
      </c>
      <c r="D18" s="196"/>
      <c r="E18" s="196"/>
      <c r="F18" s="196">
        <v>5.3000000000000001E-5</v>
      </c>
      <c r="G18" s="196"/>
      <c r="H18" s="196">
        <v>429</v>
      </c>
      <c r="I18" s="196"/>
      <c r="J18" s="198">
        <f>F18*744000*V14</f>
        <v>39.432000000000002</v>
      </c>
      <c r="K18" s="198"/>
      <c r="L18" s="198"/>
      <c r="M18" s="198">
        <f t="shared" si="0"/>
        <v>1182.96</v>
      </c>
      <c r="N18" s="198"/>
      <c r="O18" s="198"/>
      <c r="P18" s="198">
        <f t="shared" si="1"/>
        <v>507489.84</v>
      </c>
      <c r="Q18" s="198"/>
      <c r="R18" s="198">
        <f t="shared" si="2"/>
        <v>6089878.0800000001</v>
      </c>
      <c r="S18" s="198"/>
      <c r="T18" s="20"/>
      <c r="U18" s="20"/>
      <c r="V18" s="20"/>
    </row>
    <row r="19" spans="2:22" x14ac:dyDescent="0.25">
      <c r="B19" s="56">
        <v>3</v>
      </c>
      <c r="C19" s="196" t="s">
        <v>277</v>
      </c>
      <c r="D19" s="196"/>
      <c r="E19" s="196"/>
      <c r="F19" s="196">
        <v>1E-4</v>
      </c>
      <c r="G19" s="196"/>
      <c r="H19" s="196">
        <v>80</v>
      </c>
      <c r="I19" s="196"/>
      <c r="J19" s="198">
        <f>F19*744000*V14</f>
        <v>74.400000000000006</v>
      </c>
      <c r="K19" s="198"/>
      <c r="L19" s="198"/>
      <c r="M19" s="198">
        <f t="shared" si="0"/>
        <v>2232</v>
      </c>
      <c r="N19" s="198"/>
      <c r="O19" s="198"/>
      <c r="P19" s="198">
        <f t="shared" si="1"/>
        <v>178560</v>
      </c>
      <c r="Q19" s="198"/>
      <c r="R19" s="198">
        <f t="shared" si="2"/>
        <v>2142720</v>
      </c>
      <c r="S19" s="198"/>
      <c r="T19" s="20"/>
      <c r="U19" s="20"/>
      <c r="V19" s="20"/>
    </row>
    <row r="20" spans="2:22" x14ac:dyDescent="0.25">
      <c r="B20" s="56">
        <v>4</v>
      </c>
      <c r="C20" s="196" t="s">
        <v>278</v>
      </c>
      <c r="D20" s="196"/>
      <c r="E20" s="196"/>
      <c r="F20" s="196">
        <v>2.94E-5</v>
      </c>
      <c r="G20" s="196"/>
      <c r="H20" s="196">
        <v>450</v>
      </c>
      <c r="I20" s="196"/>
      <c r="J20" s="198">
        <f>F20*744000*V14</f>
        <v>21.8736</v>
      </c>
      <c r="K20" s="198"/>
      <c r="L20" s="198"/>
      <c r="M20" s="198">
        <f t="shared" si="0"/>
        <v>656.20799999999997</v>
      </c>
      <c r="N20" s="198"/>
      <c r="O20" s="198"/>
      <c r="P20" s="198">
        <f t="shared" si="1"/>
        <v>295293.59999999998</v>
      </c>
      <c r="Q20" s="198"/>
      <c r="R20" s="198">
        <f t="shared" si="2"/>
        <v>3543523.1999999997</v>
      </c>
      <c r="S20" s="198"/>
      <c r="T20" s="20"/>
      <c r="U20" s="20"/>
      <c r="V20" s="20"/>
    </row>
    <row r="21" spans="2:22" x14ac:dyDescent="0.25">
      <c r="B21" s="56">
        <v>5</v>
      </c>
      <c r="C21" s="196" t="s">
        <v>279</v>
      </c>
      <c r="D21" s="196"/>
      <c r="E21" s="196"/>
      <c r="F21" s="196">
        <v>2.94E-5</v>
      </c>
      <c r="G21" s="196"/>
      <c r="H21" s="196">
        <v>360</v>
      </c>
      <c r="I21" s="196"/>
      <c r="J21" s="198">
        <f>F21*744000*V14</f>
        <v>21.8736</v>
      </c>
      <c r="K21" s="198"/>
      <c r="L21" s="198"/>
      <c r="M21" s="198">
        <f t="shared" si="0"/>
        <v>656.20799999999997</v>
      </c>
      <c r="N21" s="198"/>
      <c r="O21" s="198"/>
      <c r="P21" s="198">
        <f t="shared" si="1"/>
        <v>236234.87999999998</v>
      </c>
      <c r="Q21" s="198"/>
      <c r="R21" s="198">
        <f t="shared" si="2"/>
        <v>2834818.5599999996</v>
      </c>
      <c r="S21" s="198"/>
      <c r="T21" s="20"/>
      <c r="U21" s="20"/>
      <c r="V21" s="20"/>
    </row>
    <row r="22" spans="2:22" x14ac:dyDescent="0.25">
      <c r="B22" s="56">
        <v>6</v>
      </c>
      <c r="C22" s="196" t="s">
        <v>280</v>
      </c>
      <c r="D22" s="196"/>
      <c r="E22" s="196"/>
      <c r="F22" s="196">
        <v>6.1E-6</v>
      </c>
      <c r="G22" s="196"/>
      <c r="H22" s="196">
        <v>1000</v>
      </c>
      <c r="I22" s="196"/>
      <c r="J22" s="198">
        <f>F22*744000*V14</f>
        <v>4.5384000000000002</v>
      </c>
      <c r="K22" s="198"/>
      <c r="L22" s="198"/>
      <c r="M22" s="198">
        <f t="shared" si="0"/>
        <v>136.15200000000002</v>
      </c>
      <c r="N22" s="198"/>
      <c r="O22" s="198"/>
      <c r="P22" s="198">
        <f t="shared" si="1"/>
        <v>136152.00000000003</v>
      </c>
      <c r="Q22" s="198"/>
      <c r="R22" s="198">
        <f t="shared" si="2"/>
        <v>1633824.0000000005</v>
      </c>
      <c r="S22" s="198"/>
      <c r="T22" s="20"/>
      <c r="U22" s="20"/>
      <c r="V22" s="20"/>
    </row>
    <row r="23" spans="2:22" x14ac:dyDescent="0.25">
      <c r="B23" s="56">
        <v>7</v>
      </c>
      <c r="C23" s="196" t="s">
        <v>281</v>
      </c>
      <c r="D23" s="196"/>
      <c r="E23" s="196"/>
      <c r="F23" s="196">
        <v>4.1599999999999997E-4</v>
      </c>
      <c r="G23" s="196"/>
      <c r="H23" s="196">
        <v>55</v>
      </c>
      <c r="I23" s="196"/>
      <c r="J23" s="198">
        <f>F23*744000*V14</f>
        <v>309.50399999999996</v>
      </c>
      <c r="K23" s="198"/>
      <c r="L23" s="198"/>
      <c r="M23" s="198">
        <f t="shared" si="0"/>
        <v>9285.119999999999</v>
      </c>
      <c r="N23" s="198"/>
      <c r="O23" s="198"/>
      <c r="P23" s="198">
        <f t="shared" si="1"/>
        <v>510681.59999999992</v>
      </c>
      <c r="Q23" s="198"/>
      <c r="R23" s="198">
        <f t="shared" si="2"/>
        <v>6128179.1999999993</v>
      </c>
      <c r="S23" s="198"/>
      <c r="T23" s="20"/>
      <c r="U23" s="20"/>
      <c r="V23" s="20"/>
    </row>
    <row r="24" spans="2:22" x14ac:dyDescent="0.25">
      <c r="B24" s="56">
        <v>8</v>
      </c>
      <c r="C24" s="196" t="s">
        <v>282</v>
      </c>
      <c r="D24" s="196"/>
      <c r="E24" s="196"/>
      <c r="F24" s="196">
        <v>2.0000000000000001E-4</v>
      </c>
      <c r="G24" s="196"/>
      <c r="H24" s="196">
        <v>35</v>
      </c>
      <c r="I24" s="196"/>
      <c r="J24" s="198">
        <f>F24*744000*V14</f>
        <v>148.80000000000001</v>
      </c>
      <c r="K24" s="198"/>
      <c r="L24" s="198"/>
      <c r="M24" s="198">
        <f t="shared" si="0"/>
        <v>4464</v>
      </c>
      <c r="N24" s="198"/>
      <c r="O24" s="198"/>
      <c r="P24" s="198">
        <f t="shared" si="1"/>
        <v>156240</v>
      </c>
      <c r="Q24" s="198"/>
      <c r="R24" s="198">
        <f t="shared" si="2"/>
        <v>1874880</v>
      </c>
      <c r="S24" s="198"/>
      <c r="T24" s="20"/>
      <c r="U24" s="20"/>
      <c r="V24" s="20"/>
    </row>
    <row r="25" spans="2:22" x14ac:dyDescent="0.25">
      <c r="B25" s="56">
        <v>9</v>
      </c>
      <c r="C25" s="196" t="s">
        <v>283</v>
      </c>
      <c r="D25" s="196"/>
      <c r="E25" s="196"/>
      <c r="F25" s="196">
        <v>3.9199999999999997E-5</v>
      </c>
      <c r="G25" s="196"/>
      <c r="H25" s="196">
        <v>170</v>
      </c>
      <c r="I25" s="196"/>
      <c r="J25" s="198">
        <f>F25*744000*V14</f>
        <v>29.1648</v>
      </c>
      <c r="K25" s="198"/>
      <c r="L25" s="198"/>
      <c r="M25" s="198">
        <f t="shared" si="0"/>
        <v>874.94399999999996</v>
      </c>
      <c r="N25" s="198"/>
      <c r="O25" s="198"/>
      <c r="P25" s="198">
        <f t="shared" si="1"/>
        <v>148740.47999999998</v>
      </c>
      <c r="Q25" s="198"/>
      <c r="R25" s="198">
        <f t="shared" si="2"/>
        <v>1784885.7599999998</v>
      </c>
      <c r="S25" s="198"/>
      <c r="T25" s="20"/>
      <c r="U25" s="20"/>
      <c r="V25" s="20"/>
    </row>
    <row r="26" spans="2:22" x14ac:dyDescent="0.25">
      <c r="B26" s="56">
        <v>10</v>
      </c>
      <c r="C26" s="196" t="s">
        <v>284</v>
      </c>
      <c r="D26" s="196"/>
      <c r="E26" s="196"/>
      <c r="F26" s="196">
        <v>6.1E-6</v>
      </c>
      <c r="G26" s="196"/>
      <c r="H26" s="196">
        <v>550</v>
      </c>
      <c r="I26" s="196"/>
      <c r="J26" s="198">
        <f>F26*744000*V14</f>
        <v>4.5384000000000002</v>
      </c>
      <c r="K26" s="198"/>
      <c r="L26" s="198"/>
      <c r="M26" s="198">
        <f t="shared" si="0"/>
        <v>136.15200000000002</v>
      </c>
      <c r="N26" s="198"/>
      <c r="O26" s="198"/>
      <c r="P26" s="198">
        <f t="shared" si="1"/>
        <v>74883.600000000006</v>
      </c>
      <c r="Q26" s="198"/>
      <c r="R26" s="198">
        <f t="shared" si="2"/>
        <v>898603.20000000007</v>
      </c>
      <c r="S26" s="198"/>
      <c r="T26" s="20"/>
      <c r="U26" s="20"/>
      <c r="V26" s="20"/>
    </row>
    <row r="27" spans="2:22" x14ac:dyDescent="0.25">
      <c r="B27" s="56">
        <v>11</v>
      </c>
      <c r="C27" s="196" t="s">
        <v>285</v>
      </c>
      <c r="D27" s="196"/>
      <c r="E27" s="196"/>
      <c r="F27" s="196">
        <v>7.3499999999999998E-5</v>
      </c>
      <c r="G27" s="196"/>
      <c r="H27" s="196">
        <v>400</v>
      </c>
      <c r="I27" s="196"/>
      <c r="J27" s="198">
        <f>F27*744000*V14</f>
        <v>54.683999999999997</v>
      </c>
      <c r="K27" s="198"/>
      <c r="L27" s="198"/>
      <c r="M27" s="198">
        <f t="shared" si="0"/>
        <v>1640.52</v>
      </c>
      <c r="N27" s="198"/>
      <c r="O27" s="198"/>
      <c r="P27" s="198">
        <f t="shared" si="1"/>
        <v>656208</v>
      </c>
      <c r="Q27" s="198"/>
      <c r="R27" s="198">
        <f t="shared" si="2"/>
        <v>7874496</v>
      </c>
      <c r="S27" s="198"/>
      <c r="T27" s="20"/>
      <c r="U27" s="20"/>
      <c r="V27" s="20"/>
    </row>
    <row r="28" spans="2:22" x14ac:dyDescent="0.25">
      <c r="B28" s="56">
        <v>12</v>
      </c>
      <c r="C28" s="196" t="s">
        <v>286</v>
      </c>
      <c r="D28" s="196"/>
      <c r="E28" s="196"/>
      <c r="F28" s="196">
        <v>7.3499999999999998E-5</v>
      </c>
      <c r="G28" s="196"/>
      <c r="H28" s="196">
        <v>400</v>
      </c>
      <c r="I28" s="196"/>
      <c r="J28" s="198">
        <f>F28*744000*V14</f>
        <v>54.683999999999997</v>
      </c>
      <c r="K28" s="198"/>
      <c r="L28" s="198"/>
      <c r="M28" s="198">
        <f t="shared" si="0"/>
        <v>1640.52</v>
      </c>
      <c r="N28" s="198"/>
      <c r="O28" s="198"/>
      <c r="P28" s="198">
        <f t="shared" si="1"/>
        <v>656208</v>
      </c>
      <c r="Q28" s="198"/>
      <c r="R28" s="198">
        <f t="shared" si="2"/>
        <v>7874496</v>
      </c>
      <c r="S28" s="198"/>
      <c r="T28" s="20"/>
      <c r="U28" s="20"/>
      <c r="V28" s="20"/>
    </row>
    <row r="29" spans="2:22" x14ac:dyDescent="0.25">
      <c r="B29" s="56">
        <v>13</v>
      </c>
      <c r="C29" s="196" t="s">
        <v>287</v>
      </c>
      <c r="D29" s="196"/>
      <c r="E29" s="196"/>
      <c r="F29" s="196">
        <v>7.3499999999999999E-6</v>
      </c>
      <c r="G29" s="196"/>
      <c r="H29" s="196">
        <v>700</v>
      </c>
      <c r="I29" s="196"/>
      <c r="J29" s="198">
        <f>F29*744000*V14</f>
        <v>5.4683999999999999</v>
      </c>
      <c r="K29" s="198"/>
      <c r="L29" s="198"/>
      <c r="M29" s="198">
        <f t="shared" si="0"/>
        <v>164.05199999999999</v>
      </c>
      <c r="N29" s="198"/>
      <c r="O29" s="198"/>
      <c r="P29" s="198">
        <f t="shared" si="1"/>
        <v>114836.4</v>
      </c>
      <c r="Q29" s="198"/>
      <c r="R29" s="198">
        <f t="shared" si="2"/>
        <v>1378036.7999999998</v>
      </c>
      <c r="S29" s="198"/>
      <c r="T29" s="20"/>
      <c r="U29" s="20"/>
      <c r="V29" s="20"/>
    </row>
    <row r="30" spans="2:22" x14ac:dyDescent="0.25">
      <c r="B30" s="56">
        <v>14</v>
      </c>
      <c r="C30" s="196" t="s">
        <v>268</v>
      </c>
      <c r="D30" s="196"/>
      <c r="E30" s="196"/>
      <c r="F30" s="196">
        <v>7000</v>
      </c>
      <c r="G30" s="196"/>
      <c r="H30" s="196">
        <v>150</v>
      </c>
      <c r="I30" s="196"/>
      <c r="J30" s="198">
        <f>7000*V14</f>
        <v>7000</v>
      </c>
      <c r="K30" s="198"/>
      <c r="L30" s="198"/>
      <c r="M30" s="198">
        <f t="shared" si="0"/>
        <v>210000</v>
      </c>
      <c r="N30" s="198"/>
      <c r="O30" s="198"/>
      <c r="P30" s="198">
        <f t="shared" si="1"/>
        <v>31500000</v>
      </c>
      <c r="Q30" s="198"/>
      <c r="R30" s="198">
        <f t="shared" si="2"/>
        <v>378000000</v>
      </c>
      <c r="S30" s="198"/>
      <c r="T30" s="20"/>
      <c r="U30" s="20"/>
      <c r="V30" s="20"/>
    </row>
    <row r="31" spans="2:22" x14ac:dyDescent="0.25">
      <c r="B31" s="56">
        <v>15</v>
      </c>
      <c r="C31" s="196" t="s">
        <v>267</v>
      </c>
      <c r="D31" s="196"/>
      <c r="E31" s="196"/>
      <c r="F31" s="196">
        <v>167</v>
      </c>
      <c r="G31" s="196"/>
      <c r="H31" s="196">
        <v>5.8</v>
      </c>
      <c r="I31" s="196"/>
      <c r="J31" s="198">
        <f>(F31*24)*V14</f>
        <v>4008</v>
      </c>
      <c r="K31" s="198"/>
      <c r="L31" s="198"/>
      <c r="M31" s="198">
        <f t="shared" si="0"/>
        <v>120240</v>
      </c>
      <c r="N31" s="198"/>
      <c r="O31" s="198"/>
      <c r="P31" s="198">
        <f t="shared" si="1"/>
        <v>697392</v>
      </c>
      <c r="Q31" s="198"/>
      <c r="R31" s="198">
        <f t="shared" si="2"/>
        <v>8368704</v>
      </c>
      <c r="S31" s="198"/>
      <c r="T31" s="20"/>
      <c r="U31" s="20"/>
      <c r="V31" s="20"/>
    </row>
    <row r="32" spans="2:22" x14ac:dyDescent="0.25">
      <c r="B32" s="56">
        <v>16</v>
      </c>
      <c r="C32" s="196" t="s">
        <v>265</v>
      </c>
      <c r="D32" s="196"/>
      <c r="E32" s="196"/>
      <c r="F32" s="196">
        <v>140</v>
      </c>
      <c r="G32" s="196"/>
      <c r="H32" s="196">
        <v>7.5</v>
      </c>
      <c r="I32" s="196"/>
      <c r="J32" s="198">
        <f>(F32*24)*V14</f>
        <v>3360</v>
      </c>
      <c r="K32" s="198"/>
      <c r="L32" s="198"/>
      <c r="M32" s="198">
        <f t="shared" si="0"/>
        <v>100800</v>
      </c>
      <c r="N32" s="198"/>
      <c r="O32" s="198"/>
      <c r="P32" s="198">
        <f t="shared" si="1"/>
        <v>756000</v>
      </c>
      <c r="Q32" s="198"/>
      <c r="R32" s="198">
        <f t="shared" si="2"/>
        <v>9072000</v>
      </c>
      <c r="S32" s="198"/>
      <c r="T32" s="20"/>
      <c r="U32" s="20"/>
      <c r="V32" s="20"/>
    </row>
    <row r="33" spans="2:22" x14ac:dyDescent="0.25">
      <c r="B33" s="56">
        <v>17</v>
      </c>
      <c r="C33" s="196" t="s">
        <v>266</v>
      </c>
      <c r="D33" s="196"/>
      <c r="E33" s="196"/>
      <c r="F33" s="196">
        <v>6</v>
      </c>
      <c r="G33" s="196"/>
      <c r="H33" s="196">
        <v>86</v>
      </c>
      <c r="I33" s="196"/>
      <c r="J33" s="198">
        <f>(F33*24)*V14</f>
        <v>144</v>
      </c>
      <c r="K33" s="198"/>
      <c r="L33" s="198"/>
      <c r="M33" s="198">
        <f t="shared" si="0"/>
        <v>4320</v>
      </c>
      <c r="N33" s="198"/>
      <c r="O33" s="198"/>
      <c r="P33" s="198">
        <f t="shared" si="1"/>
        <v>371520</v>
      </c>
      <c r="Q33" s="198"/>
      <c r="R33" s="198">
        <f t="shared" si="2"/>
        <v>4458240</v>
      </c>
      <c r="S33" s="198"/>
      <c r="T33" s="20"/>
      <c r="U33" s="20"/>
      <c r="V33" s="20"/>
    </row>
    <row r="34" spans="2:22" x14ac:dyDescent="0.25">
      <c r="B34" s="211" t="s">
        <v>291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2">
        <f>SUM(P17:Q33)</f>
        <v>37666040.399999999</v>
      </c>
      <c r="Q34" s="212"/>
      <c r="R34" s="212">
        <f t="shared" si="2"/>
        <v>451992484.79999995</v>
      </c>
      <c r="S34" s="212"/>
      <c r="T34" s="20"/>
      <c r="U34" s="20"/>
      <c r="V34" s="20"/>
    </row>
  </sheetData>
  <mergeCells count="149">
    <mergeCell ref="R33:S33"/>
    <mergeCell ref="B34:O34"/>
    <mergeCell ref="P34:Q34"/>
    <mergeCell ref="R34:S34"/>
    <mergeCell ref="C33:E33"/>
    <mergeCell ref="F33:G33"/>
    <mergeCell ref="H33:I33"/>
    <mergeCell ref="J33:L33"/>
    <mergeCell ref="M33:O33"/>
    <mergeCell ref="P33:Q33"/>
    <mergeCell ref="R31:S31"/>
    <mergeCell ref="C32:E32"/>
    <mergeCell ref="F32:G32"/>
    <mergeCell ref="H32:I32"/>
    <mergeCell ref="J32:L32"/>
    <mergeCell ref="M32:O32"/>
    <mergeCell ref="P32:Q32"/>
    <mergeCell ref="R32:S32"/>
    <mergeCell ref="C31:E31"/>
    <mergeCell ref="F31:G31"/>
    <mergeCell ref="H31:I31"/>
    <mergeCell ref="J31:L31"/>
    <mergeCell ref="M31:O31"/>
    <mergeCell ref="P31:Q31"/>
    <mergeCell ref="R29:S29"/>
    <mergeCell ref="C30:E30"/>
    <mergeCell ref="F30:G30"/>
    <mergeCell ref="H30:I30"/>
    <mergeCell ref="J30:L30"/>
    <mergeCell ref="M30:O30"/>
    <mergeCell ref="P30:Q30"/>
    <mergeCell ref="R30:S30"/>
    <mergeCell ref="C29:E29"/>
    <mergeCell ref="F29:G29"/>
    <mergeCell ref="H29:I29"/>
    <mergeCell ref="J29:L29"/>
    <mergeCell ref="M29:O29"/>
    <mergeCell ref="P29:Q29"/>
    <mergeCell ref="R27:S27"/>
    <mergeCell ref="C28:E28"/>
    <mergeCell ref="F28:G28"/>
    <mergeCell ref="H28:I28"/>
    <mergeCell ref="J28:L28"/>
    <mergeCell ref="M28:O28"/>
    <mergeCell ref="P28:Q28"/>
    <mergeCell ref="R28:S28"/>
    <mergeCell ref="C27:E27"/>
    <mergeCell ref="F27:G27"/>
    <mergeCell ref="H27:I27"/>
    <mergeCell ref="J27:L27"/>
    <mergeCell ref="M27:O27"/>
    <mergeCell ref="P27:Q27"/>
    <mergeCell ref="R25:S25"/>
    <mergeCell ref="C26:E26"/>
    <mergeCell ref="F26:G26"/>
    <mergeCell ref="H26:I26"/>
    <mergeCell ref="J26:L26"/>
    <mergeCell ref="M26:O26"/>
    <mergeCell ref="P26:Q26"/>
    <mergeCell ref="R26:S26"/>
    <mergeCell ref="C25:E25"/>
    <mergeCell ref="F25:G25"/>
    <mergeCell ref="H25:I25"/>
    <mergeCell ref="J25:L25"/>
    <mergeCell ref="M25:O25"/>
    <mergeCell ref="P25:Q25"/>
    <mergeCell ref="R23:S23"/>
    <mergeCell ref="C24:E24"/>
    <mergeCell ref="F24:G24"/>
    <mergeCell ref="H24:I24"/>
    <mergeCell ref="J24:L24"/>
    <mergeCell ref="M24:O24"/>
    <mergeCell ref="P24:Q24"/>
    <mergeCell ref="R24:S24"/>
    <mergeCell ref="C23:E23"/>
    <mergeCell ref="F23:G23"/>
    <mergeCell ref="H23:I23"/>
    <mergeCell ref="J23:L23"/>
    <mergeCell ref="M23:O23"/>
    <mergeCell ref="P23:Q23"/>
    <mergeCell ref="R21:S21"/>
    <mergeCell ref="C22:E22"/>
    <mergeCell ref="F22:G22"/>
    <mergeCell ref="H22:I22"/>
    <mergeCell ref="J22:L22"/>
    <mergeCell ref="M22:O22"/>
    <mergeCell ref="P22:Q22"/>
    <mergeCell ref="R22:S22"/>
    <mergeCell ref="C21:E21"/>
    <mergeCell ref="F21:G21"/>
    <mergeCell ref="H21:I21"/>
    <mergeCell ref="J21:L21"/>
    <mergeCell ref="M21:O21"/>
    <mergeCell ref="P21:Q21"/>
    <mergeCell ref="R19:S19"/>
    <mergeCell ref="C20:E20"/>
    <mergeCell ref="F20:G20"/>
    <mergeCell ref="H20:I20"/>
    <mergeCell ref="J20:L20"/>
    <mergeCell ref="M20:O20"/>
    <mergeCell ref="P20:Q20"/>
    <mergeCell ref="R20:S20"/>
    <mergeCell ref="C19:E19"/>
    <mergeCell ref="F19:G19"/>
    <mergeCell ref="H19:I19"/>
    <mergeCell ref="J19:L19"/>
    <mergeCell ref="M19:O19"/>
    <mergeCell ref="P19:Q19"/>
    <mergeCell ref="R17:S17"/>
    <mergeCell ref="C18:E18"/>
    <mergeCell ref="F18:G18"/>
    <mergeCell ref="H18:I18"/>
    <mergeCell ref="J18:L18"/>
    <mergeCell ref="M18:O18"/>
    <mergeCell ref="P18:Q18"/>
    <mergeCell ref="R18:S18"/>
    <mergeCell ref="C17:E17"/>
    <mergeCell ref="F17:G17"/>
    <mergeCell ref="H17:I17"/>
    <mergeCell ref="J17:L17"/>
    <mergeCell ref="M17:O17"/>
    <mergeCell ref="P17:Q17"/>
    <mergeCell ref="B14:S15"/>
    <mergeCell ref="T14:U15"/>
    <mergeCell ref="V14:V15"/>
    <mergeCell ref="C16:E16"/>
    <mergeCell ref="F16:G16"/>
    <mergeCell ref="H16:I16"/>
    <mergeCell ref="J16:L16"/>
    <mergeCell ref="M16:O16"/>
    <mergeCell ref="P16:Q16"/>
    <mergeCell ref="R16:S16"/>
    <mergeCell ref="B10:C10"/>
    <mergeCell ref="D10:E10"/>
    <mergeCell ref="B11:C12"/>
    <mergeCell ref="D11:E12"/>
    <mergeCell ref="B8:C8"/>
    <mergeCell ref="D8:E8"/>
    <mergeCell ref="B9:C9"/>
    <mergeCell ref="D9:E9"/>
    <mergeCell ref="B6:C6"/>
    <mergeCell ref="D6:E6"/>
    <mergeCell ref="B7:C7"/>
    <mergeCell ref="D7:E7"/>
    <mergeCell ref="B3:C3"/>
    <mergeCell ref="B4:C4"/>
    <mergeCell ref="D4:E4"/>
    <mergeCell ref="B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1"/>
  <sheetViews>
    <sheetView topLeftCell="A166" workbookViewId="0">
      <selection activeCell="E122" sqref="E122:L133"/>
    </sheetView>
  </sheetViews>
  <sheetFormatPr defaultRowHeight="12.75" x14ac:dyDescent="0.25"/>
  <cols>
    <col min="1" max="1" width="9.140625" style="6"/>
    <col min="2" max="2" width="18.42578125" style="6" customWidth="1"/>
    <col min="3" max="3" width="9.140625" style="6" customWidth="1"/>
    <col min="4" max="9" width="9.140625" style="6"/>
    <col min="10" max="10" width="18.28515625" style="6" customWidth="1"/>
    <col min="11" max="11" width="9.140625" style="6"/>
    <col min="12" max="12" width="15.42578125" style="6" customWidth="1"/>
    <col min="13" max="13" width="17.140625" style="6" customWidth="1"/>
    <col min="14" max="14" width="16.7109375" style="6" customWidth="1"/>
    <col min="15" max="15" width="16.85546875" style="6" customWidth="1"/>
    <col min="16" max="16" width="17" style="6" customWidth="1"/>
    <col min="17" max="17" width="16.85546875" style="6" customWidth="1"/>
    <col min="18" max="16384" width="9.140625" style="6"/>
  </cols>
  <sheetData>
    <row r="2" spans="2:18" x14ac:dyDescent="0.25">
      <c r="B2" s="189" t="s">
        <v>40</v>
      </c>
      <c r="C2" s="189"/>
      <c r="D2" s="189"/>
      <c r="E2" s="189"/>
      <c r="F2" s="189"/>
      <c r="G2" s="189"/>
      <c r="H2" s="189"/>
      <c r="I2" s="189"/>
      <c r="J2" s="189"/>
      <c r="L2" s="187" t="s">
        <v>112</v>
      </c>
      <c r="M2" s="187"/>
      <c r="N2" s="187"/>
      <c r="O2" s="187"/>
      <c r="P2" s="187"/>
      <c r="Q2" s="187"/>
    </row>
    <row r="3" spans="2:18" x14ac:dyDescent="0.25">
      <c r="B3" s="178" t="s">
        <v>70</v>
      </c>
      <c r="C3" s="178"/>
      <c r="D3" s="178"/>
      <c r="E3" s="178"/>
      <c r="F3" s="178"/>
      <c r="G3" s="178"/>
      <c r="H3" s="178"/>
      <c r="I3" s="178"/>
      <c r="J3" s="178"/>
      <c r="L3" s="178" t="s">
        <v>70</v>
      </c>
      <c r="M3" s="178"/>
      <c r="N3" s="178"/>
      <c r="O3" s="178"/>
      <c r="P3" s="178"/>
      <c r="Q3" s="178"/>
    </row>
    <row r="4" spans="2:18" ht="38.25" x14ac:dyDescent="0.25">
      <c r="B4" s="177" t="s">
        <v>19</v>
      </c>
      <c r="C4" s="7"/>
      <c r="D4" s="177" t="s">
        <v>20</v>
      </c>
      <c r="E4" s="177"/>
      <c r="F4" s="177"/>
      <c r="G4" s="177"/>
      <c r="H4" s="177"/>
      <c r="I4" s="177"/>
      <c r="J4" s="177" t="s">
        <v>25</v>
      </c>
      <c r="L4" s="7" t="s">
        <v>41</v>
      </c>
      <c r="M4" s="7" t="s">
        <v>42</v>
      </c>
      <c r="N4" s="7" t="s">
        <v>43</v>
      </c>
      <c r="O4" s="7" t="s">
        <v>44</v>
      </c>
      <c r="P4" s="7" t="s">
        <v>45</v>
      </c>
      <c r="Q4" s="7" t="s">
        <v>46</v>
      </c>
    </row>
    <row r="5" spans="2:18" ht="12.75" customHeight="1" x14ac:dyDescent="0.25">
      <c r="B5" s="177"/>
      <c r="C5" s="7">
        <v>6</v>
      </c>
      <c r="D5" s="7">
        <v>6.5</v>
      </c>
      <c r="E5" s="7">
        <v>7</v>
      </c>
      <c r="F5" s="7">
        <v>7.5</v>
      </c>
      <c r="G5" s="7">
        <v>8</v>
      </c>
      <c r="H5" s="7">
        <v>8.5</v>
      </c>
      <c r="I5" s="7">
        <v>9</v>
      </c>
      <c r="J5" s="177"/>
      <c r="L5" s="8" t="s">
        <v>59</v>
      </c>
      <c r="M5" s="7" t="s">
        <v>47</v>
      </c>
      <c r="N5" s="7" t="s">
        <v>58</v>
      </c>
      <c r="O5" s="7">
        <v>220</v>
      </c>
      <c r="P5" s="177" t="s">
        <v>61</v>
      </c>
      <c r="Q5" s="177" t="s">
        <v>62</v>
      </c>
    </row>
    <row r="6" spans="2:18" ht="25.5" x14ac:dyDescent="0.25">
      <c r="B6" s="7" t="s">
        <v>21</v>
      </c>
      <c r="C6" s="7">
        <v>75</v>
      </c>
      <c r="D6" s="7">
        <v>83</v>
      </c>
      <c r="E6" s="7">
        <v>89</v>
      </c>
      <c r="F6" s="7">
        <v>95</v>
      </c>
      <c r="G6" s="7">
        <v>102</v>
      </c>
      <c r="H6" s="7">
        <v>108</v>
      </c>
      <c r="I6" s="7">
        <v>114</v>
      </c>
      <c r="J6" s="7" t="s">
        <v>24</v>
      </c>
      <c r="L6" s="7">
        <v>6.5</v>
      </c>
      <c r="M6" s="7" t="s">
        <v>48</v>
      </c>
      <c r="N6" s="7" t="s">
        <v>57</v>
      </c>
      <c r="O6" s="7">
        <v>220</v>
      </c>
      <c r="P6" s="177"/>
      <c r="Q6" s="177"/>
    </row>
    <row r="7" spans="2:18" ht="25.5" x14ac:dyDescent="0.25">
      <c r="B7" s="7" t="s">
        <v>23</v>
      </c>
      <c r="C7" s="7" t="s">
        <v>32</v>
      </c>
      <c r="D7" s="7" t="s">
        <v>26</v>
      </c>
      <c r="E7" s="7" t="s">
        <v>27</v>
      </c>
      <c r="F7" s="7" t="s">
        <v>29</v>
      </c>
      <c r="G7" s="7" t="s">
        <v>28</v>
      </c>
      <c r="H7" s="7" t="s">
        <v>30</v>
      </c>
      <c r="I7" s="7" t="s">
        <v>31</v>
      </c>
      <c r="J7" s="7"/>
      <c r="L7" s="7">
        <v>7</v>
      </c>
      <c r="M7" s="177" t="s">
        <v>49</v>
      </c>
      <c r="N7" s="7" t="s">
        <v>56</v>
      </c>
      <c r="O7" s="177">
        <v>230</v>
      </c>
      <c r="P7" s="177"/>
      <c r="Q7" s="177"/>
    </row>
    <row r="8" spans="2:18" ht="25.5" x14ac:dyDescent="0.25">
      <c r="B8" s="7" t="s">
        <v>22</v>
      </c>
      <c r="C8" s="7" t="s">
        <v>33</v>
      </c>
      <c r="D8" s="7">
        <v>70</v>
      </c>
      <c r="E8" s="7">
        <v>80</v>
      </c>
      <c r="F8" s="7">
        <v>85</v>
      </c>
      <c r="G8" s="7">
        <v>95</v>
      </c>
      <c r="H8" s="7">
        <v>110</v>
      </c>
      <c r="I8" s="7">
        <v>120</v>
      </c>
      <c r="J8" s="7" t="s">
        <v>34</v>
      </c>
      <c r="L8" s="7">
        <v>7.5</v>
      </c>
      <c r="M8" s="177"/>
      <c r="N8" s="7" t="s">
        <v>55</v>
      </c>
      <c r="O8" s="177"/>
      <c r="P8" s="177" t="s">
        <v>63</v>
      </c>
      <c r="Q8" s="177" t="s">
        <v>64</v>
      </c>
    </row>
    <row r="9" spans="2:18" ht="25.5" x14ac:dyDescent="0.25">
      <c r="B9" s="7" t="s">
        <v>38</v>
      </c>
      <c r="C9" s="7"/>
      <c r="D9" s="7"/>
      <c r="E9" s="7"/>
      <c r="F9" s="7"/>
      <c r="G9" s="7"/>
      <c r="H9" s="7"/>
      <c r="I9" s="7"/>
      <c r="J9" s="7"/>
      <c r="L9" s="7">
        <v>8</v>
      </c>
      <c r="M9" s="177" t="s">
        <v>50</v>
      </c>
      <c r="N9" s="7" t="s">
        <v>54</v>
      </c>
      <c r="O9" s="177">
        <v>230</v>
      </c>
      <c r="P9" s="177"/>
      <c r="Q9" s="177"/>
    </row>
    <row r="10" spans="2:18" x14ac:dyDescent="0.25">
      <c r="B10" s="7" t="s">
        <v>35</v>
      </c>
      <c r="C10" s="177">
        <v>0.05</v>
      </c>
      <c r="D10" s="177"/>
      <c r="E10" s="177"/>
      <c r="F10" s="177"/>
      <c r="G10" s="177"/>
      <c r="H10" s="177"/>
      <c r="I10" s="177"/>
      <c r="J10" s="7"/>
      <c r="L10" s="7">
        <v>8.5</v>
      </c>
      <c r="M10" s="177"/>
      <c r="N10" s="7" t="s">
        <v>53</v>
      </c>
      <c r="O10" s="177"/>
      <c r="P10" s="177"/>
      <c r="Q10" s="177"/>
    </row>
    <row r="11" spans="2:18" x14ac:dyDescent="0.25">
      <c r="B11" s="7" t="s">
        <v>36</v>
      </c>
      <c r="C11" s="177">
        <v>0.05</v>
      </c>
      <c r="D11" s="177"/>
      <c r="E11" s="177"/>
      <c r="F11" s="177"/>
      <c r="G11" s="177"/>
      <c r="H11" s="177"/>
      <c r="I11" s="177"/>
      <c r="J11" s="7"/>
      <c r="L11" s="8" t="s">
        <v>60</v>
      </c>
      <c r="M11" s="7" t="s">
        <v>51</v>
      </c>
      <c r="N11" s="7" t="s">
        <v>52</v>
      </c>
      <c r="O11" s="7">
        <v>230</v>
      </c>
      <c r="P11" s="177"/>
      <c r="Q11" s="177"/>
    </row>
    <row r="12" spans="2:18" ht="25.5" x14ac:dyDescent="0.25">
      <c r="B12" s="7" t="s">
        <v>37</v>
      </c>
      <c r="C12" s="7">
        <v>220</v>
      </c>
      <c r="D12" s="7">
        <v>220</v>
      </c>
      <c r="E12" s="7">
        <v>230</v>
      </c>
      <c r="F12" s="7">
        <v>230</v>
      </c>
      <c r="G12" s="7">
        <v>230</v>
      </c>
      <c r="H12" s="7">
        <v>230</v>
      </c>
      <c r="I12" s="7">
        <v>230</v>
      </c>
      <c r="J12" s="7"/>
    </row>
    <row r="13" spans="2:18" ht="35.25" customHeight="1" x14ac:dyDescent="0.25">
      <c r="B13" s="7" t="s">
        <v>18</v>
      </c>
      <c r="C13" s="177" t="s">
        <v>39</v>
      </c>
      <c r="D13" s="177"/>
      <c r="E13" s="177"/>
      <c r="F13" s="177"/>
      <c r="G13" s="177"/>
      <c r="H13" s="177"/>
      <c r="I13" s="177"/>
      <c r="J13" s="177"/>
    </row>
    <row r="15" spans="2:18" ht="12.75" customHeight="1" x14ac:dyDescent="0.25">
      <c r="B15" s="189" t="s">
        <v>40</v>
      </c>
      <c r="C15" s="189"/>
      <c r="D15" s="189"/>
      <c r="E15" s="189"/>
      <c r="F15" s="189"/>
      <c r="G15" s="189"/>
      <c r="H15" s="189"/>
      <c r="I15" s="189"/>
      <c r="J15" s="189"/>
      <c r="L15" s="187" t="s">
        <v>112</v>
      </c>
      <c r="M15" s="187"/>
      <c r="N15" s="187"/>
      <c r="O15" s="187"/>
      <c r="P15" s="187"/>
      <c r="Q15" s="187"/>
      <c r="R15" s="187"/>
    </row>
    <row r="16" spans="2:18" ht="12.75" customHeight="1" x14ac:dyDescent="0.25">
      <c r="B16" s="178" t="s">
        <v>65</v>
      </c>
      <c r="C16" s="178"/>
      <c r="D16" s="178"/>
      <c r="E16" s="178"/>
      <c r="F16" s="178"/>
      <c r="G16" s="178"/>
      <c r="H16" s="178"/>
      <c r="I16" s="178"/>
      <c r="J16" s="178"/>
      <c r="L16" s="178" t="s">
        <v>65</v>
      </c>
      <c r="M16" s="178"/>
      <c r="N16" s="178"/>
      <c r="O16" s="178"/>
      <c r="P16" s="178"/>
      <c r="Q16" s="178"/>
      <c r="R16" s="178"/>
    </row>
    <row r="17" spans="2:18" ht="12.75" customHeight="1" x14ac:dyDescent="0.25">
      <c r="B17" s="177" t="s">
        <v>66</v>
      </c>
      <c r="C17" s="177"/>
      <c r="D17" s="177"/>
      <c r="E17" s="177"/>
      <c r="F17" s="177" t="s">
        <v>67</v>
      </c>
      <c r="G17" s="177"/>
      <c r="H17" s="177"/>
      <c r="I17" s="177"/>
      <c r="J17" s="177"/>
      <c r="L17" s="177" t="s">
        <v>71</v>
      </c>
      <c r="M17" s="177"/>
      <c r="N17" s="177"/>
      <c r="O17" s="177" t="s">
        <v>72</v>
      </c>
      <c r="P17" s="177"/>
      <c r="Q17" s="177"/>
      <c r="R17" s="177"/>
    </row>
    <row r="18" spans="2:18" x14ac:dyDescent="0.25">
      <c r="B18" s="177"/>
      <c r="C18" s="177"/>
      <c r="D18" s="177"/>
      <c r="E18" s="177"/>
      <c r="F18" s="177"/>
      <c r="G18" s="177"/>
      <c r="H18" s="177"/>
      <c r="I18" s="177"/>
      <c r="J18" s="177"/>
      <c r="L18" s="177"/>
      <c r="M18" s="177"/>
      <c r="N18" s="177"/>
      <c r="O18" s="177" t="s">
        <v>73</v>
      </c>
      <c r="P18" s="177"/>
      <c r="Q18" s="177" t="s">
        <v>74</v>
      </c>
      <c r="R18" s="177"/>
    </row>
    <row r="19" spans="2:18" ht="12.75" customHeight="1" x14ac:dyDescent="0.25">
      <c r="B19" s="177" t="s">
        <v>68</v>
      </c>
      <c r="C19" s="177"/>
      <c r="D19" s="177" t="s">
        <v>69</v>
      </c>
      <c r="E19" s="177"/>
      <c r="F19" s="177" t="s">
        <v>68</v>
      </c>
      <c r="G19" s="177"/>
      <c r="H19" s="177" t="s">
        <v>69</v>
      </c>
      <c r="I19" s="177"/>
      <c r="J19" s="177"/>
      <c r="L19" s="177" t="s">
        <v>75</v>
      </c>
      <c r="M19" s="177"/>
      <c r="N19" s="177"/>
      <c r="O19" s="179">
        <v>7</v>
      </c>
      <c r="P19" s="179"/>
      <c r="Q19" s="179">
        <v>7</v>
      </c>
      <c r="R19" s="179"/>
    </row>
    <row r="20" spans="2:18" x14ac:dyDescent="0.25">
      <c r="B20" s="177"/>
      <c r="C20" s="177"/>
      <c r="D20" s="177"/>
      <c r="E20" s="177"/>
      <c r="F20" s="177"/>
      <c r="G20" s="177"/>
      <c r="H20" s="177"/>
      <c r="I20" s="177"/>
      <c r="J20" s="177"/>
      <c r="L20" s="177"/>
      <c r="M20" s="177"/>
      <c r="N20" s="177"/>
      <c r="O20" s="179"/>
      <c r="P20" s="179"/>
      <c r="Q20" s="179"/>
      <c r="R20" s="179"/>
    </row>
    <row r="21" spans="2:18" x14ac:dyDescent="0.25">
      <c r="B21" s="177"/>
      <c r="C21" s="177"/>
      <c r="D21" s="177"/>
      <c r="E21" s="177"/>
      <c r="F21" s="177"/>
      <c r="G21" s="177"/>
      <c r="H21" s="177"/>
      <c r="I21" s="177"/>
      <c r="J21" s="177"/>
      <c r="L21" s="177" t="s">
        <v>76</v>
      </c>
      <c r="M21" s="177"/>
      <c r="N21" s="177"/>
      <c r="O21" s="177">
        <v>650</v>
      </c>
      <c r="P21" s="177"/>
      <c r="Q21" s="177">
        <v>500</v>
      </c>
      <c r="R21" s="177"/>
    </row>
    <row r="22" spans="2:18" x14ac:dyDescent="0.25">
      <c r="B22" s="177">
        <v>14</v>
      </c>
      <c r="C22" s="177"/>
      <c r="D22" s="177">
        <v>500</v>
      </c>
      <c r="E22" s="177"/>
      <c r="F22" s="177">
        <v>14</v>
      </c>
      <c r="G22" s="177"/>
      <c r="H22" s="177">
        <v>400</v>
      </c>
      <c r="I22" s="177"/>
      <c r="J22" s="177"/>
      <c r="L22" s="177"/>
      <c r="M22" s="177"/>
      <c r="N22" s="177"/>
      <c r="O22" s="177"/>
      <c r="P22" s="177"/>
      <c r="Q22" s="177"/>
      <c r="R22" s="177"/>
    </row>
    <row r="23" spans="2:18" x14ac:dyDescent="0.25">
      <c r="L23" s="177" t="s">
        <v>77</v>
      </c>
      <c r="M23" s="177"/>
      <c r="N23" s="177"/>
      <c r="O23" s="179">
        <v>6</v>
      </c>
      <c r="P23" s="179"/>
      <c r="Q23" s="179">
        <v>7</v>
      </c>
      <c r="R23" s="179"/>
    </row>
    <row r="24" spans="2:18" x14ac:dyDescent="0.25">
      <c r="B24" s="189" t="s">
        <v>40</v>
      </c>
      <c r="C24" s="189"/>
      <c r="D24" s="189"/>
      <c r="E24" s="189"/>
      <c r="F24" s="189"/>
      <c r="G24" s="189"/>
      <c r="H24" s="189"/>
      <c r="I24" s="189"/>
      <c r="J24" s="189"/>
      <c r="L24" s="177"/>
      <c r="M24" s="177"/>
      <c r="N24" s="177"/>
      <c r="O24" s="179"/>
      <c r="P24" s="179"/>
      <c r="Q24" s="179"/>
      <c r="R24" s="179"/>
    </row>
    <row r="25" spans="2:18" x14ac:dyDescent="0.25">
      <c r="B25" s="192" t="s">
        <v>79</v>
      </c>
      <c r="C25" s="192"/>
      <c r="D25" s="192"/>
      <c r="E25" s="177" t="s">
        <v>81</v>
      </c>
      <c r="F25" s="177"/>
      <c r="G25" s="177"/>
      <c r="H25" s="177"/>
      <c r="I25" s="177"/>
      <c r="J25" s="177"/>
      <c r="L25" s="177" t="s">
        <v>78</v>
      </c>
      <c r="M25" s="177"/>
      <c r="N25" s="177"/>
      <c r="O25" s="177">
        <v>500</v>
      </c>
      <c r="P25" s="177"/>
      <c r="Q25" s="177">
        <v>400</v>
      </c>
      <c r="R25" s="177"/>
    </row>
    <row r="26" spans="2:18" x14ac:dyDescent="0.25">
      <c r="B26" s="192"/>
      <c r="C26" s="192"/>
      <c r="D26" s="192"/>
      <c r="E26" s="177"/>
      <c r="F26" s="177"/>
      <c r="G26" s="177"/>
      <c r="H26" s="177"/>
      <c r="I26" s="177"/>
      <c r="J26" s="177"/>
      <c r="L26" s="177"/>
      <c r="M26" s="177"/>
      <c r="N26" s="177"/>
      <c r="O26" s="177"/>
      <c r="P26" s="177"/>
      <c r="Q26" s="177"/>
      <c r="R26" s="177"/>
    </row>
    <row r="27" spans="2:18" x14ac:dyDescent="0.25">
      <c r="B27" s="192"/>
      <c r="C27" s="192"/>
      <c r="D27" s="192"/>
      <c r="E27" s="177"/>
      <c r="F27" s="177"/>
      <c r="G27" s="177"/>
      <c r="H27" s="177"/>
      <c r="I27" s="177"/>
      <c r="J27" s="177"/>
    </row>
    <row r="28" spans="2:18" x14ac:dyDescent="0.25">
      <c r="B28" s="192"/>
      <c r="C28" s="192"/>
      <c r="D28" s="192"/>
      <c r="E28" s="177"/>
      <c r="F28" s="177"/>
      <c r="G28" s="177"/>
      <c r="H28" s="177"/>
      <c r="I28" s="177"/>
      <c r="J28" s="177"/>
    </row>
    <row r="29" spans="2:18" x14ac:dyDescent="0.25">
      <c r="B29" s="192"/>
      <c r="C29" s="192"/>
      <c r="D29" s="192"/>
      <c r="E29" s="177"/>
      <c r="F29" s="177"/>
      <c r="G29" s="177"/>
      <c r="H29" s="177"/>
      <c r="I29" s="177"/>
      <c r="J29" s="177"/>
      <c r="L29" s="187" t="s">
        <v>112</v>
      </c>
      <c r="M29" s="187"/>
      <c r="N29" s="187"/>
      <c r="O29" s="187"/>
      <c r="P29" s="187"/>
      <c r="Q29" s="187"/>
      <c r="R29" s="187"/>
    </row>
    <row r="30" spans="2:18" ht="12.75" customHeight="1" x14ac:dyDescent="0.25">
      <c r="B30" s="192"/>
      <c r="C30" s="192"/>
      <c r="D30" s="192"/>
      <c r="E30" s="177"/>
      <c r="F30" s="177"/>
      <c r="G30" s="177"/>
      <c r="H30" s="177"/>
      <c r="I30" s="177"/>
      <c r="J30" s="177"/>
      <c r="L30" s="190" t="s">
        <v>79</v>
      </c>
      <c r="M30" s="191"/>
      <c r="N30" s="177" t="s">
        <v>80</v>
      </c>
      <c r="O30" s="177"/>
      <c r="P30" s="177"/>
      <c r="Q30" s="177"/>
      <c r="R30" s="177"/>
    </row>
    <row r="31" spans="2:18" x14ac:dyDescent="0.25">
      <c r="L31" s="190"/>
      <c r="M31" s="191"/>
      <c r="N31" s="177"/>
      <c r="O31" s="177"/>
      <c r="P31" s="177"/>
      <c r="Q31" s="177"/>
      <c r="R31" s="177"/>
    </row>
    <row r="32" spans="2:18" x14ac:dyDescent="0.25">
      <c r="B32" s="189" t="s">
        <v>40</v>
      </c>
      <c r="C32" s="189"/>
      <c r="D32" s="189"/>
      <c r="E32" s="189"/>
      <c r="F32" s="189"/>
      <c r="G32" s="189"/>
      <c r="H32" s="189"/>
      <c r="I32" s="189"/>
      <c r="J32" s="189"/>
      <c r="L32" s="190"/>
      <c r="M32" s="191"/>
      <c r="N32" s="177"/>
      <c r="O32" s="177"/>
      <c r="P32" s="177"/>
      <c r="Q32" s="177"/>
      <c r="R32" s="177"/>
    </row>
    <row r="33" spans="2:18" x14ac:dyDescent="0.25">
      <c r="B33" s="178" t="s">
        <v>82</v>
      </c>
      <c r="C33" s="178"/>
      <c r="D33" s="178"/>
      <c r="E33" s="178"/>
      <c r="F33" s="178"/>
      <c r="G33" s="178"/>
      <c r="H33" s="178"/>
      <c r="I33" s="178"/>
      <c r="J33" s="178"/>
      <c r="L33" s="190"/>
      <c r="M33" s="191"/>
      <c r="N33" s="177"/>
      <c r="O33" s="177"/>
      <c r="P33" s="177"/>
      <c r="Q33" s="177"/>
      <c r="R33" s="177"/>
    </row>
    <row r="34" spans="2:18" x14ac:dyDescent="0.25">
      <c r="B34" s="177" t="s">
        <v>83</v>
      </c>
      <c r="C34" s="177"/>
      <c r="D34" s="177" t="s">
        <v>84</v>
      </c>
      <c r="E34" s="177"/>
      <c r="F34" s="177"/>
      <c r="G34" s="177"/>
      <c r="H34" s="177"/>
      <c r="I34" s="177" t="s">
        <v>85</v>
      </c>
      <c r="J34" s="177" t="s">
        <v>86</v>
      </c>
      <c r="L34" s="190"/>
      <c r="M34" s="191"/>
      <c r="N34" s="177"/>
      <c r="O34" s="177"/>
      <c r="P34" s="177"/>
      <c r="Q34" s="177"/>
      <c r="R34" s="177"/>
    </row>
    <row r="35" spans="2:18" x14ac:dyDescent="0.25">
      <c r="B35" s="177"/>
      <c r="C35" s="177"/>
      <c r="D35" s="177"/>
      <c r="E35" s="177"/>
      <c r="F35" s="177"/>
      <c r="G35" s="177"/>
      <c r="H35" s="177"/>
      <c r="I35" s="177"/>
      <c r="J35" s="177"/>
      <c r="L35" s="190"/>
      <c r="M35" s="191"/>
      <c r="N35" s="177"/>
      <c r="O35" s="177"/>
      <c r="P35" s="177"/>
      <c r="Q35" s="177"/>
      <c r="R35" s="177"/>
    </row>
    <row r="36" spans="2:18" x14ac:dyDescent="0.25">
      <c r="B36" s="177" t="s">
        <v>87</v>
      </c>
      <c r="C36" s="177"/>
      <c r="D36" s="177" t="s">
        <v>93</v>
      </c>
      <c r="E36" s="177"/>
      <c r="F36" s="177"/>
      <c r="G36" s="177"/>
      <c r="H36" s="177"/>
      <c r="I36" s="7" t="s">
        <v>98</v>
      </c>
      <c r="J36" s="7" t="s">
        <v>103</v>
      </c>
      <c r="L36" s="190"/>
      <c r="M36" s="191"/>
      <c r="N36" s="177"/>
      <c r="O36" s="177"/>
      <c r="P36" s="177"/>
      <c r="Q36" s="177"/>
      <c r="R36" s="177"/>
    </row>
    <row r="37" spans="2:18" x14ac:dyDescent="0.25">
      <c r="B37" s="177" t="s">
        <v>88</v>
      </c>
      <c r="C37" s="177"/>
      <c r="D37" s="177" t="s">
        <v>94</v>
      </c>
      <c r="E37" s="177"/>
      <c r="F37" s="177"/>
      <c r="G37" s="177"/>
      <c r="H37" s="177"/>
      <c r="I37" s="7" t="s">
        <v>99</v>
      </c>
      <c r="J37" s="11">
        <v>2.5</v>
      </c>
      <c r="N37" s="177"/>
      <c r="O37" s="177"/>
      <c r="P37" s="177"/>
      <c r="Q37" s="177"/>
      <c r="R37" s="177"/>
    </row>
    <row r="38" spans="2:18" x14ac:dyDescent="0.25">
      <c r="B38" s="177" t="s">
        <v>89</v>
      </c>
      <c r="C38" s="177"/>
      <c r="D38" s="177" t="s">
        <v>95</v>
      </c>
      <c r="E38" s="177"/>
      <c r="F38" s="177"/>
      <c r="G38" s="177"/>
      <c r="H38" s="177"/>
      <c r="I38" s="7" t="s">
        <v>100</v>
      </c>
      <c r="J38" s="11">
        <v>4</v>
      </c>
      <c r="N38" s="177"/>
      <c r="O38" s="177"/>
      <c r="P38" s="177"/>
      <c r="Q38" s="177"/>
      <c r="R38" s="177"/>
    </row>
    <row r="39" spans="2:18" x14ac:dyDescent="0.25">
      <c r="B39" s="177" t="s">
        <v>90</v>
      </c>
      <c r="C39" s="177"/>
      <c r="D39" s="177" t="s">
        <v>96</v>
      </c>
      <c r="E39" s="177"/>
      <c r="F39" s="177"/>
      <c r="G39" s="177"/>
      <c r="H39" s="177"/>
      <c r="I39" s="177" t="s">
        <v>100</v>
      </c>
      <c r="J39" s="179">
        <v>4</v>
      </c>
      <c r="N39" s="177"/>
      <c r="O39" s="177"/>
      <c r="P39" s="177"/>
      <c r="Q39" s="177"/>
      <c r="R39" s="177"/>
    </row>
    <row r="40" spans="2:18" x14ac:dyDescent="0.25">
      <c r="B40" s="177"/>
      <c r="C40" s="177"/>
      <c r="D40" s="177"/>
      <c r="E40" s="177"/>
      <c r="F40" s="177"/>
      <c r="G40" s="177"/>
      <c r="H40" s="177"/>
      <c r="I40" s="177"/>
      <c r="J40" s="179"/>
      <c r="N40" s="177"/>
      <c r="O40" s="177"/>
      <c r="P40" s="177"/>
      <c r="Q40" s="177"/>
      <c r="R40" s="177"/>
    </row>
    <row r="41" spans="2:18" x14ac:dyDescent="0.25">
      <c r="B41" s="177" t="s">
        <v>91</v>
      </c>
      <c r="C41" s="177"/>
      <c r="D41" s="177" t="s">
        <v>97</v>
      </c>
      <c r="E41" s="177"/>
      <c r="F41" s="177"/>
      <c r="G41" s="177"/>
      <c r="H41" s="177"/>
      <c r="I41" s="177" t="s">
        <v>101</v>
      </c>
      <c r="J41" s="177" t="s">
        <v>103</v>
      </c>
      <c r="N41" s="177"/>
      <c r="O41" s="177"/>
      <c r="P41" s="177"/>
      <c r="Q41" s="177"/>
      <c r="R41" s="177"/>
    </row>
    <row r="42" spans="2:18" x14ac:dyDescent="0.25">
      <c r="B42" s="177"/>
      <c r="C42" s="177"/>
      <c r="D42" s="177"/>
      <c r="E42" s="177"/>
      <c r="F42" s="177"/>
      <c r="G42" s="177"/>
      <c r="H42" s="177"/>
      <c r="I42" s="177"/>
      <c r="J42" s="177"/>
      <c r="N42" s="9"/>
      <c r="O42" s="9"/>
      <c r="P42" s="9"/>
      <c r="Q42" s="9"/>
      <c r="R42" s="9"/>
    </row>
    <row r="43" spans="2:18" x14ac:dyDescent="0.25">
      <c r="B43" s="177" t="s">
        <v>92</v>
      </c>
      <c r="C43" s="177"/>
      <c r="D43" s="177" t="s">
        <v>97</v>
      </c>
      <c r="E43" s="177"/>
      <c r="F43" s="177"/>
      <c r="G43" s="177"/>
      <c r="H43" s="177"/>
      <c r="I43" s="177" t="s">
        <v>102</v>
      </c>
      <c r="J43" s="177" t="s">
        <v>103</v>
      </c>
      <c r="N43" s="9"/>
      <c r="O43" s="9"/>
      <c r="P43" s="9"/>
      <c r="Q43" s="9"/>
      <c r="R43" s="9"/>
    </row>
    <row r="44" spans="2:18" ht="12.75" customHeight="1" x14ac:dyDescent="0.25">
      <c r="B44" s="177"/>
      <c r="C44" s="177"/>
      <c r="D44" s="177"/>
      <c r="E44" s="177"/>
      <c r="F44" s="177"/>
      <c r="G44" s="177"/>
      <c r="H44" s="177"/>
      <c r="I44" s="177"/>
      <c r="J44" s="177"/>
      <c r="L44" s="187" t="s">
        <v>112</v>
      </c>
      <c r="M44" s="187"/>
      <c r="N44" s="187"/>
      <c r="O44" s="187"/>
      <c r="P44" s="187"/>
      <c r="Q44" s="187"/>
      <c r="R44" s="187"/>
    </row>
    <row r="45" spans="2:18" ht="12.75" customHeight="1" x14ac:dyDescent="0.25">
      <c r="L45" s="181" t="s">
        <v>104</v>
      </c>
      <c r="M45" s="181"/>
      <c r="N45" s="181"/>
      <c r="O45" s="181"/>
      <c r="P45" s="181"/>
      <c r="Q45" s="181"/>
      <c r="R45" s="181"/>
    </row>
    <row r="46" spans="2:18" ht="12.75" customHeight="1" x14ac:dyDescent="0.25">
      <c r="B46" s="189" t="s">
        <v>40</v>
      </c>
      <c r="C46" s="189"/>
      <c r="D46" s="189"/>
      <c r="E46" s="189"/>
      <c r="F46" s="189"/>
      <c r="G46" s="189"/>
      <c r="H46" s="189"/>
      <c r="I46" s="189"/>
      <c r="J46" s="189"/>
      <c r="L46" s="186" t="s">
        <v>113</v>
      </c>
      <c r="M46" s="186"/>
      <c r="N46" s="177" t="s">
        <v>120</v>
      </c>
      <c r="O46" s="177"/>
      <c r="P46" s="177"/>
      <c r="Q46" s="177"/>
      <c r="R46" s="177"/>
    </row>
    <row r="47" spans="2:18" ht="12.75" customHeight="1" x14ac:dyDescent="0.25">
      <c r="B47" s="178" t="s">
        <v>104</v>
      </c>
      <c r="C47" s="178"/>
      <c r="D47" s="178"/>
      <c r="E47" s="178"/>
      <c r="F47" s="178"/>
      <c r="G47" s="178"/>
      <c r="H47" s="178"/>
      <c r="I47" s="178"/>
      <c r="J47" s="178"/>
      <c r="L47" s="186" t="s">
        <v>119</v>
      </c>
      <c r="M47" s="186"/>
      <c r="N47" s="177" t="s">
        <v>123</v>
      </c>
      <c r="O47" s="177"/>
      <c r="P47" s="177"/>
      <c r="Q47" s="177"/>
      <c r="R47" s="177"/>
    </row>
    <row r="48" spans="2:18" ht="28.5" customHeight="1" x14ac:dyDescent="0.25">
      <c r="B48" s="188" t="s">
        <v>159</v>
      </c>
      <c r="C48" s="188"/>
      <c r="D48" s="188"/>
      <c r="E48" s="177" t="s">
        <v>111</v>
      </c>
      <c r="F48" s="177"/>
      <c r="G48" s="177"/>
      <c r="H48" s="177"/>
      <c r="I48" s="177"/>
      <c r="J48" s="177"/>
      <c r="L48" s="186"/>
      <c r="M48" s="186"/>
      <c r="N48" s="177"/>
      <c r="O48" s="177"/>
      <c r="P48" s="177"/>
      <c r="Q48" s="177"/>
      <c r="R48" s="177"/>
    </row>
    <row r="49" spans="2:18" ht="12.75" customHeight="1" x14ac:dyDescent="0.25">
      <c r="B49" s="188" t="s">
        <v>168</v>
      </c>
      <c r="C49" s="188"/>
      <c r="D49" s="188"/>
      <c r="E49" s="177" t="s">
        <v>106</v>
      </c>
      <c r="F49" s="177"/>
      <c r="G49" s="177"/>
      <c r="H49" s="177"/>
      <c r="I49" s="177"/>
      <c r="J49" s="177"/>
      <c r="L49" s="186" t="s">
        <v>118</v>
      </c>
      <c r="M49" s="186"/>
      <c r="N49" s="177" t="s">
        <v>124</v>
      </c>
      <c r="O49" s="177"/>
      <c r="P49" s="177"/>
      <c r="Q49" s="177"/>
      <c r="R49" s="177"/>
    </row>
    <row r="50" spans="2:18" x14ac:dyDescent="0.25">
      <c r="B50" s="188" t="s">
        <v>161</v>
      </c>
      <c r="C50" s="188"/>
      <c r="D50" s="188"/>
      <c r="E50" s="177" t="s">
        <v>107</v>
      </c>
      <c r="F50" s="177"/>
      <c r="G50" s="177"/>
      <c r="H50" s="177"/>
      <c r="I50" s="177"/>
      <c r="J50" s="177"/>
      <c r="L50" s="186"/>
      <c r="M50" s="186"/>
      <c r="N50" s="177"/>
      <c r="O50" s="177"/>
      <c r="P50" s="177"/>
      <c r="Q50" s="177"/>
      <c r="R50" s="177"/>
    </row>
    <row r="51" spans="2:18" ht="12.75" customHeight="1" x14ac:dyDescent="0.25">
      <c r="B51" s="188" t="s">
        <v>163</v>
      </c>
      <c r="C51" s="188"/>
      <c r="D51" s="188"/>
      <c r="E51" s="177" t="s">
        <v>110</v>
      </c>
      <c r="F51" s="177"/>
      <c r="G51" s="177"/>
      <c r="H51" s="177"/>
      <c r="I51" s="177"/>
      <c r="J51" s="177"/>
      <c r="L51" s="186" t="s">
        <v>117</v>
      </c>
      <c r="M51" s="186"/>
      <c r="N51" s="177" t="s">
        <v>127</v>
      </c>
      <c r="O51" s="177"/>
      <c r="P51" s="177"/>
      <c r="Q51" s="177"/>
      <c r="R51" s="177"/>
    </row>
    <row r="52" spans="2:18" ht="26.25" customHeight="1" x14ac:dyDescent="0.25">
      <c r="B52" s="188" t="s">
        <v>164</v>
      </c>
      <c r="C52" s="188"/>
      <c r="D52" s="188"/>
      <c r="E52" s="177" t="s">
        <v>109</v>
      </c>
      <c r="F52" s="177"/>
      <c r="G52" s="177"/>
      <c r="H52" s="177"/>
      <c r="I52" s="177"/>
      <c r="J52" s="177"/>
      <c r="L52" s="186"/>
      <c r="M52" s="186"/>
      <c r="N52" s="177"/>
      <c r="O52" s="177"/>
      <c r="P52" s="177"/>
      <c r="Q52" s="177"/>
      <c r="R52" s="177"/>
    </row>
    <row r="53" spans="2:18" ht="12.75" customHeight="1" x14ac:dyDescent="0.25">
      <c r="B53" s="188" t="s">
        <v>105</v>
      </c>
      <c r="C53" s="188"/>
      <c r="D53" s="188"/>
      <c r="E53" s="177" t="s">
        <v>108</v>
      </c>
      <c r="F53" s="177"/>
      <c r="G53" s="177"/>
      <c r="H53" s="177"/>
      <c r="I53" s="177"/>
      <c r="J53" s="177"/>
      <c r="L53" s="186" t="s">
        <v>116</v>
      </c>
      <c r="M53" s="186"/>
      <c r="N53" s="177" t="s">
        <v>126</v>
      </c>
      <c r="O53" s="177"/>
      <c r="P53" s="177"/>
      <c r="Q53" s="177"/>
      <c r="R53" s="177"/>
    </row>
    <row r="54" spans="2:18" ht="34.5" customHeight="1" x14ac:dyDescent="0.25">
      <c r="L54" s="186"/>
      <c r="M54" s="186"/>
      <c r="N54" s="177"/>
      <c r="O54" s="177"/>
      <c r="P54" s="177"/>
      <c r="Q54" s="177"/>
      <c r="R54" s="177"/>
    </row>
    <row r="55" spans="2:18" ht="12.75" customHeight="1" x14ac:dyDescent="0.25">
      <c r="L55" s="186" t="s">
        <v>115</v>
      </c>
      <c r="M55" s="186"/>
      <c r="N55" s="177" t="s">
        <v>125</v>
      </c>
      <c r="O55" s="177"/>
      <c r="P55" s="177"/>
      <c r="Q55" s="177"/>
      <c r="R55" s="177"/>
    </row>
    <row r="56" spans="2:18" x14ac:dyDescent="0.25">
      <c r="L56" s="186"/>
      <c r="M56" s="186"/>
      <c r="N56" s="177"/>
      <c r="O56" s="177"/>
      <c r="P56" s="177"/>
      <c r="Q56" s="177"/>
      <c r="R56" s="177"/>
    </row>
    <row r="57" spans="2:18" ht="12.75" customHeight="1" x14ac:dyDescent="0.25">
      <c r="L57" s="186" t="s">
        <v>114</v>
      </c>
      <c r="M57" s="186"/>
      <c r="N57" s="177" t="s">
        <v>130</v>
      </c>
      <c r="O57" s="177"/>
      <c r="P57" s="177"/>
      <c r="Q57" s="177"/>
      <c r="R57" s="177"/>
    </row>
    <row r="58" spans="2:18" ht="38.25" customHeight="1" x14ac:dyDescent="0.25">
      <c r="L58" s="186"/>
      <c r="M58" s="186"/>
      <c r="N58" s="177"/>
      <c r="O58" s="177"/>
      <c r="P58" s="177"/>
      <c r="Q58" s="177"/>
      <c r="R58" s="177"/>
    </row>
    <row r="59" spans="2:18" ht="12.75" customHeight="1" x14ac:dyDescent="0.25">
      <c r="L59" s="186" t="s">
        <v>121</v>
      </c>
      <c r="M59" s="186"/>
      <c r="N59" s="177" t="s">
        <v>128</v>
      </c>
      <c r="O59" s="177"/>
      <c r="P59" s="177"/>
      <c r="Q59" s="177"/>
      <c r="R59" s="177"/>
    </row>
    <row r="60" spans="2:18" ht="27.75" customHeight="1" x14ac:dyDescent="0.25">
      <c r="L60" s="186"/>
      <c r="M60" s="186"/>
      <c r="N60" s="177"/>
      <c r="O60" s="177"/>
      <c r="P60" s="177"/>
      <c r="Q60" s="177"/>
      <c r="R60" s="177"/>
    </row>
    <row r="61" spans="2:18" ht="12.75" customHeight="1" x14ac:dyDescent="0.25">
      <c r="L61" s="186" t="s">
        <v>122</v>
      </c>
      <c r="M61" s="186"/>
      <c r="N61" s="177" t="s">
        <v>129</v>
      </c>
      <c r="O61" s="177"/>
      <c r="P61" s="177"/>
      <c r="Q61" s="177"/>
      <c r="R61" s="177"/>
    </row>
    <row r="62" spans="2:18" x14ac:dyDescent="0.25">
      <c r="L62" s="186"/>
      <c r="M62" s="186"/>
      <c r="N62" s="177"/>
      <c r="O62" s="177"/>
      <c r="P62" s="177"/>
      <c r="Q62" s="177"/>
      <c r="R62" s="177"/>
    </row>
    <row r="63" spans="2:18" x14ac:dyDescent="0.25">
      <c r="L63" s="12"/>
      <c r="M63" s="12"/>
      <c r="N63" s="10"/>
      <c r="O63" s="10"/>
      <c r="P63" s="10"/>
      <c r="Q63" s="10"/>
      <c r="R63" s="10"/>
    </row>
    <row r="65" spans="5:18" x14ac:dyDescent="0.25">
      <c r="L65" s="187" t="s">
        <v>112</v>
      </c>
      <c r="M65" s="187"/>
      <c r="N65" s="187"/>
      <c r="O65" s="187"/>
      <c r="P65" s="187"/>
      <c r="Q65" s="187"/>
      <c r="R65" s="187"/>
    </row>
    <row r="66" spans="5:18" x14ac:dyDescent="0.25">
      <c r="L66" s="181" t="s">
        <v>131</v>
      </c>
      <c r="M66" s="181"/>
      <c r="N66" s="181"/>
      <c r="O66" s="181"/>
      <c r="P66" s="181"/>
      <c r="Q66" s="181"/>
      <c r="R66" s="181"/>
    </row>
    <row r="67" spans="5:18" x14ac:dyDescent="0.25">
      <c r="L67" s="177" t="s">
        <v>71</v>
      </c>
      <c r="M67" s="177"/>
      <c r="N67" s="177"/>
      <c r="O67" s="177"/>
      <c r="P67" s="177" t="s">
        <v>85</v>
      </c>
      <c r="Q67" s="177" t="s">
        <v>132</v>
      </c>
      <c r="R67" s="177"/>
    </row>
    <row r="68" spans="5:18" x14ac:dyDescent="0.25">
      <c r="L68" s="177"/>
      <c r="M68" s="177"/>
      <c r="N68" s="177"/>
      <c r="O68" s="177"/>
      <c r="P68" s="177"/>
      <c r="Q68" s="177"/>
      <c r="R68" s="177"/>
    </row>
    <row r="69" spans="5:18" x14ac:dyDescent="0.25">
      <c r="L69" s="177" t="s">
        <v>133</v>
      </c>
      <c r="M69" s="177"/>
      <c r="N69" s="177"/>
      <c r="O69" s="177"/>
      <c r="P69" s="7" t="s">
        <v>100</v>
      </c>
      <c r="Q69" s="179">
        <v>4</v>
      </c>
      <c r="R69" s="179"/>
    </row>
    <row r="70" spans="5:18" x14ac:dyDescent="0.25">
      <c r="L70" s="177" t="s">
        <v>134</v>
      </c>
      <c r="M70" s="177"/>
      <c r="N70" s="177"/>
      <c r="O70" s="177"/>
      <c r="P70" s="7" t="s">
        <v>99</v>
      </c>
      <c r="Q70" s="179">
        <v>2.5</v>
      </c>
      <c r="R70" s="179"/>
    </row>
    <row r="71" spans="5:18" x14ac:dyDescent="0.25">
      <c r="L71" s="177" t="s">
        <v>135</v>
      </c>
      <c r="M71" s="177"/>
      <c r="N71" s="177"/>
      <c r="O71" s="177"/>
      <c r="P71" s="7" t="s">
        <v>100</v>
      </c>
      <c r="Q71" s="179">
        <v>4</v>
      </c>
      <c r="R71" s="179"/>
    </row>
    <row r="74" spans="5:18" ht="25.5" customHeight="1" x14ac:dyDescent="0.25">
      <c r="E74" s="184" t="s">
        <v>136</v>
      </c>
      <c r="F74" s="184"/>
      <c r="G74" s="184"/>
      <c r="H74" s="184"/>
      <c r="I74" s="184"/>
      <c r="J74" s="184"/>
      <c r="K74" s="184"/>
      <c r="L74" s="184"/>
      <c r="M74" s="184"/>
      <c r="N74" s="184"/>
    </row>
    <row r="75" spans="5:18" ht="12.75" customHeight="1" x14ac:dyDescent="0.25">
      <c r="E75" s="181" t="s">
        <v>104</v>
      </c>
      <c r="F75" s="181"/>
      <c r="G75" s="181"/>
      <c r="H75" s="181"/>
      <c r="I75" s="181"/>
      <c r="J75" s="181"/>
      <c r="K75" s="181"/>
      <c r="L75" s="181"/>
      <c r="M75" s="181"/>
      <c r="N75" s="181"/>
    </row>
    <row r="76" spans="5:18" ht="12.75" customHeight="1" x14ac:dyDescent="0.25">
      <c r="E76" s="185" t="s">
        <v>113</v>
      </c>
      <c r="F76" s="185"/>
      <c r="G76" s="177" t="s">
        <v>120</v>
      </c>
      <c r="H76" s="177"/>
      <c r="I76" s="177"/>
      <c r="J76" s="177"/>
      <c r="K76" s="177"/>
      <c r="L76" s="177"/>
      <c r="M76" s="177"/>
      <c r="N76" s="177"/>
    </row>
    <row r="77" spans="5:18" ht="12.75" customHeight="1" x14ac:dyDescent="0.25">
      <c r="E77" s="185" t="s">
        <v>119</v>
      </c>
      <c r="F77" s="185"/>
      <c r="G77" s="177" t="s">
        <v>123</v>
      </c>
      <c r="H77" s="177"/>
      <c r="I77" s="177"/>
      <c r="J77" s="177"/>
      <c r="K77" s="177"/>
      <c r="L77" s="177"/>
      <c r="M77" s="177"/>
      <c r="N77" s="177"/>
    </row>
    <row r="78" spans="5:18" ht="26.25" customHeight="1" x14ac:dyDescent="0.25">
      <c r="E78" s="185"/>
      <c r="F78" s="185"/>
      <c r="G78" s="177"/>
      <c r="H78" s="177"/>
      <c r="I78" s="177"/>
      <c r="J78" s="177"/>
      <c r="K78" s="177"/>
      <c r="L78" s="177"/>
      <c r="M78" s="177"/>
      <c r="N78" s="177"/>
    </row>
    <row r="79" spans="5:18" ht="12.75" customHeight="1" x14ac:dyDescent="0.25">
      <c r="E79" s="185" t="s">
        <v>118</v>
      </c>
      <c r="F79" s="185"/>
      <c r="G79" s="177" t="s">
        <v>124</v>
      </c>
      <c r="H79" s="177"/>
      <c r="I79" s="177"/>
      <c r="J79" s="177"/>
      <c r="K79" s="177"/>
      <c r="L79" s="177"/>
      <c r="M79" s="177"/>
      <c r="N79" s="177"/>
    </row>
    <row r="80" spans="5:18" ht="18.75" customHeight="1" x14ac:dyDescent="0.25">
      <c r="E80" s="185"/>
      <c r="F80" s="185"/>
      <c r="G80" s="177"/>
      <c r="H80" s="177"/>
      <c r="I80" s="177"/>
      <c r="J80" s="177"/>
      <c r="K80" s="177"/>
      <c r="L80" s="177"/>
      <c r="M80" s="177"/>
      <c r="N80" s="177"/>
    </row>
    <row r="81" spans="5:14" ht="12.75" customHeight="1" x14ac:dyDescent="0.25">
      <c r="E81" s="185" t="s">
        <v>117</v>
      </c>
      <c r="F81" s="185"/>
      <c r="G81" s="177" t="s">
        <v>127</v>
      </c>
      <c r="H81" s="177"/>
      <c r="I81" s="177"/>
      <c r="J81" s="177"/>
      <c r="K81" s="177"/>
      <c r="L81" s="177"/>
      <c r="M81" s="177"/>
      <c r="N81" s="177"/>
    </row>
    <row r="82" spans="5:14" ht="22.5" customHeight="1" x14ac:dyDescent="0.25">
      <c r="E82" s="185"/>
      <c r="F82" s="185"/>
      <c r="G82" s="177"/>
      <c r="H82" s="177"/>
      <c r="I82" s="177"/>
      <c r="J82" s="177"/>
      <c r="K82" s="177"/>
      <c r="L82" s="177"/>
      <c r="M82" s="177"/>
      <c r="N82" s="177"/>
    </row>
    <row r="83" spans="5:14" ht="12.75" customHeight="1" x14ac:dyDescent="0.25">
      <c r="E83" s="185" t="s">
        <v>116</v>
      </c>
      <c r="F83" s="185"/>
      <c r="G83" s="177" t="s">
        <v>126</v>
      </c>
      <c r="H83" s="177"/>
      <c r="I83" s="177"/>
      <c r="J83" s="177"/>
      <c r="K83" s="177"/>
      <c r="L83" s="177"/>
      <c r="M83" s="177"/>
      <c r="N83" s="177"/>
    </row>
    <row r="84" spans="5:14" ht="24" customHeight="1" x14ac:dyDescent="0.25">
      <c r="E84" s="185"/>
      <c r="F84" s="185"/>
      <c r="G84" s="177"/>
      <c r="H84" s="177"/>
      <c r="I84" s="177"/>
      <c r="J84" s="177"/>
      <c r="K84" s="177"/>
      <c r="L84" s="177"/>
      <c r="M84" s="177"/>
      <c r="N84" s="177"/>
    </row>
    <row r="85" spans="5:14" ht="12.75" customHeight="1" x14ac:dyDescent="0.25">
      <c r="E85" s="185" t="s">
        <v>115</v>
      </c>
      <c r="F85" s="185"/>
      <c r="G85" s="177" t="s">
        <v>125</v>
      </c>
      <c r="H85" s="177"/>
      <c r="I85" s="177"/>
      <c r="J85" s="177"/>
      <c r="K85" s="177"/>
      <c r="L85" s="177"/>
      <c r="M85" s="177"/>
      <c r="N85" s="177"/>
    </row>
    <row r="86" spans="5:14" ht="24.75" customHeight="1" x14ac:dyDescent="0.25">
      <c r="E86" s="185"/>
      <c r="F86" s="185"/>
      <c r="G86" s="177"/>
      <c r="H86" s="177"/>
      <c r="I86" s="177"/>
      <c r="J86" s="177"/>
      <c r="K86" s="177"/>
      <c r="L86" s="177"/>
      <c r="M86" s="177"/>
      <c r="N86" s="177"/>
    </row>
    <row r="87" spans="5:14" ht="12.75" customHeight="1" x14ac:dyDescent="0.25">
      <c r="E87" s="185" t="s">
        <v>114</v>
      </c>
      <c r="F87" s="185"/>
      <c r="G87" s="177" t="s">
        <v>130</v>
      </c>
      <c r="H87" s="177"/>
      <c r="I87" s="177"/>
      <c r="J87" s="177"/>
      <c r="K87" s="177"/>
      <c r="L87" s="177"/>
      <c r="M87" s="177"/>
      <c r="N87" s="177"/>
    </row>
    <row r="88" spans="5:14" ht="27" customHeight="1" x14ac:dyDescent="0.25">
      <c r="E88" s="185"/>
      <c r="F88" s="185"/>
      <c r="G88" s="177"/>
      <c r="H88" s="177"/>
      <c r="I88" s="177"/>
      <c r="J88" s="177"/>
      <c r="K88" s="177"/>
      <c r="L88" s="177"/>
      <c r="M88" s="177"/>
      <c r="N88" s="177"/>
    </row>
    <row r="89" spans="5:14" ht="12.75" customHeight="1" x14ac:dyDescent="0.25">
      <c r="E89" s="185" t="s">
        <v>121</v>
      </c>
      <c r="F89" s="185"/>
      <c r="G89" s="177" t="s">
        <v>128</v>
      </c>
      <c r="H89" s="177"/>
      <c r="I89" s="177"/>
      <c r="J89" s="177"/>
      <c r="K89" s="177"/>
      <c r="L89" s="177"/>
      <c r="M89" s="177"/>
      <c r="N89" s="177"/>
    </row>
    <row r="90" spans="5:14" x14ac:dyDescent="0.25">
      <c r="E90" s="185"/>
      <c r="F90" s="185"/>
      <c r="G90" s="177"/>
      <c r="H90" s="177"/>
      <c r="I90" s="177"/>
      <c r="J90" s="177"/>
      <c r="K90" s="177"/>
      <c r="L90" s="177"/>
      <c r="M90" s="177"/>
      <c r="N90" s="177"/>
    </row>
    <row r="91" spans="5:14" ht="12.75" customHeight="1" x14ac:dyDescent="0.25">
      <c r="E91" s="185" t="s">
        <v>122</v>
      </c>
      <c r="F91" s="185"/>
      <c r="G91" s="177" t="s">
        <v>129</v>
      </c>
      <c r="H91" s="177"/>
      <c r="I91" s="177"/>
      <c r="J91" s="177"/>
      <c r="K91" s="177"/>
      <c r="L91" s="177"/>
      <c r="M91" s="177"/>
      <c r="N91" s="177"/>
    </row>
    <row r="92" spans="5:14" x14ac:dyDescent="0.25">
      <c r="E92" s="185"/>
      <c r="F92" s="185"/>
      <c r="G92" s="177"/>
      <c r="H92" s="177"/>
      <c r="I92" s="177"/>
      <c r="J92" s="177"/>
      <c r="K92" s="177"/>
      <c r="L92" s="177"/>
      <c r="M92" s="177"/>
      <c r="N92" s="177"/>
    </row>
    <row r="94" spans="5:14" ht="26.25" customHeight="1" x14ac:dyDescent="0.25">
      <c r="E94" s="184" t="s">
        <v>136</v>
      </c>
      <c r="F94" s="184"/>
      <c r="G94" s="184"/>
      <c r="H94" s="184"/>
      <c r="I94" s="184"/>
      <c r="J94" s="184"/>
      <c r="K94" s="184"/>
      <c r="L94" s="14"/>
      <c r="M94" s="14"/>
      <c r="N94" s="14"/>
    </row>
    <row r="95" spans="5:14" x14ac:dyDescent="0.25">
      <c r="E95" s="181" t="s">
        <v>131</v>
      </c>
      <c r="F95" s="181"/>
      <c r="G95" s="181"/>
      <c r="H95" s="181"/>
      <c r="I95" s="181"/>
      <c r="J95" s="181"/>
      <c r="K95" s="181"/>
      <c r="L95" s="14"/>
      <c r="M95" s="14"/>
      <c r="N95" s="14"/>
    </row>
    <row r="96" spans="5:14" ht="12.75" customHeight="1" x14ac:dyDescent="0.25">
      <c r="E96" s="177" t="s">
        <v>71</v>
      </c>
      <c r="F96" s="177"/>
      <c r="G96" s="177"/>
      <c r="H96" s="177"/>
      <c r="I96" s="177" t="s">
        <v>85</v>
      </c>
      <c r="J96" s="177" t="s">
        <v>132</v>
      </c>
      <c r="K96" s="177"/>
      <c r="L96" s="15"/>
      <c r="M96" s="13"/>
      <c r="N96" s="13"/>
    </row>
    <row r="97" spans="2:19" x14ac:dyDescent="0.25">
      <c r="E97" s="177"/>
      <c r="F97" s="177"/>
      <c r="G97" s="177"/>
      <c r="H97" s="177"/>
      <c r="I97" s="177"/>
      <c r="J97" s="177"/>
      <c r="K97" s="177"/>
    </row>
    <row r="98" spans="2:19" x14ac:dyDescent="0.25">
      <c r="E98" s="177" t="s">
        <v>133</v>
      </c>
      <c r="F98" s="177"/>
      <c r="G98" s="177"/>
      <c r="H98" s="177"/>
      <c r="I98" s="7" t="s">
        <v>100</v>
      </c>
      <c r="J98" s="179">
        <v>4</v>
      </c>
      <c r="K98" s="179"/>
    </row>
    <row r="99" spans="2:19" x14ac:dyDescent="0.25">
      <c r="E99" s="177" t="s">
        <v>134</v>
      </c>
      <c r="F99" s="177"/>
      <c r="G99" s="177"/>
      <c r="H99" s="177"/>
      <c r="I99" s="7">
        <v>1</v>
      </c>
      <c r="J99" s="179">
        <v>1.5</v>
      </c>
      <c r="K99" s="179"/>
    </row>
    <row r="100" spans="2:19" ht="50.25" customHeight="1" x14ac:dyDescent="0.25">
      <c r="E100" s="177" t="s">
        <v>137</v>
      </c>
      <c r="F100" s="177"/>
      <c r="G100" s="177"/>
      <c r="H100" s="177"/>
      <c r="I100" s="7" t="s">
        <v>100</v>
      </c>
      <c r="J100" s="179">
        <v>4</v>
      </c>
      <c r="K100" s="179"/>
    </row>
    <row r="102" spans="2:19" ht="26.25" customHeight="1" x14ac:dyDescent="0.25">
      <c r="B102" s="184" t="s">
        <v>136</v>
      </c>
      <c r="C102" s="184"/>
      <c r="D102" s="184"/>
      <c r="E102" s="184"/>
      <c r="F102" s="184"/>
      <c r="G102" s="184"/>
      <c r="H102" s="184"/>
      <c r="I102" s="184"/>
      <c r="L102" s="184" t="s">
        <v>136</v>
      </c>
      <c r="M102" s="184"/>
      <c r="N102" s="184"/>
      <c r="O102" s="184"/>
      <c r="P102" s="184"/>
      <c r="Q102" s="184"/>
      <c r="R102" s="17"/>
      <c r="S102" s="17"/>
    </row>
    <row r="103" spans="2:19" ht="12.75" customHeight="1" x14ac:dyDescent="0.25">
      <c r="B103" s="181" t="s">
        <v>138</v>
      </c>
      <c r="C103" s="181"/>
      <c r="D103" s="181"/>
      <c r="E103" s="181"/>
      <c r="F103" s="181"/>
      <c r="G103" s="181"/>
      <c r="H103" s="181"/>
      <c r="I103" s="181"/>
      <c r="L103" s="181" t="s">
        <v>151</v>
      </c>
      <c r="M103" s="181"/>
      <c r="N103" s="181"/>
      <c r="O103" s="181"/>
      <c r="P103" s="181"/>
      <c r="Q103" s="181"/>
    </row>
    <row r="104" spans="2:19" ht="12.75" customHeight="1" x14ac:dyDescent="0.25">
      <c r="B104" s="177" t="s">
        <v>20</v>
      </c>
      <c r="C104" s="177" t="s">
        <v>43</v>
      </c>
      <c r="D104" s="177"/>
      <c r="E104" s="177" t="s">
        <v>139</v>
      </c>
      <c r="F104" s="177"/>
      <c r="G104" s="177" t="s">
        <v>140</v>
      </c>
      <c r="H104" s="177"/>
      <c r="I104" s="177"/>
      <c r="L104" s="184" t="s">
        <v>71</v>
      </c>
      <c r="M104" s="184"/>
      <c r="N104" s="184"/>
      <c r="O104" s="184"/>
      <c r="P104" s="184" t="s">
        <v>152</v>
      </c>
      <c r="Q104" s="184"/>
    </row>
    <row r="105" spans="2:19" ht="38.25" x14ac:dyDescent="0.25">
      <c r="B105" s="177"/>
      <c r="C105" s="177"/>
      <c r="D105" s="177"/>
      <c r="E105" s="177"/>
      <c r="F105" s="177"/>
      <c r="G105" s="177"/>
      <c r="H105" s="177"/>
      <c r="I105" s="177"/>
      <c r="L105" s="184"/>
      <c r="M105" s="184"/>
      <c r="N105" s="184"/>
      <c r="O105" s="184"/>
      <c r="P105" s="16" t="s">
        <v>153</v>
      </c>
      <c r="Q105" s="16" t="s">
        <v>74</v>
      </c>
    </row>
    <row r="106" spans="2:19" ht="12.75" customHeight="1" x14ac:dyDescent="0.25">
      <c r="B106" s="7">
        <v>5</v>
      </c>
      <c r="C106" s="177" t="s">
        <v>141</v>
      </c>
      <c r="D106" s="177"/>
      <c r="E106" s="177">
        <v>250</v>
      </c>
      <c r="F106" s="177"/>
      <c r="G106" s="177" t="s">
        <v>150</v>
      </c>
      <c r="H106" s="177"/>
      <c r="I106" s="177"/>
      <c r="L106" s="177" t="s">
        <v>154</v>
      </c>
      <c r="M106" s="177"/>
      <c r="N106" s="177"/>
      <c r="O106" s="177"/>
      <c r="P106" s="179">
        <v>12.5</v>
      </c>
      <c r="Q106" s="179">
        <v>9</v>
      </c>
    </row>
    <row r="107" spans="2:19" x14ac:dyDescent="0.25">
      <c r="B107" s="7">
        <v>5.5</v>
      </c>
      <c r="C107" s="177" t="s">
        <v>142</v>
      </c>
      <c r="D107" s="177"/>
      <c r="E107" s="177">
        <v>250</v>
      </c>
      <c r="F107" s="177"/>
      <c r="G107" s="177"/>
      <c r="H107" s="177"/>
      <c r="I107" s="177"/>
      <c r="L107" s="177"/>
      <c r="M107" s="177"/>
      <c r="N107" s="177"/>
      <c r="O107" s="177"/>
      <c r="P107" s="179"/>
      <c r="Q107" s="179"/>
    </row>
    <row r="108" spans="2:19" x14ac:dyDescent="0.25">
      <c r="B108" s="7">
        <v>6</v>
      </c>
      <c r="C108" s="177" t="s">
        <v>143</v>
      </c>
      <c r="D108" s="177"/>
      <c r="E108" s="177">
        <v>260</v>
      </c>
      <c r="F108" s="177"/>
      <c r="G108" s="177"/>
      <c r="H108" s="177"/>
      <c r="I108" s="177"/>
      <c r="L108" s="177" t="s">
        <v>76</v>
      </c>
      <c r="M108" s="177"/>
      <c r="N108" s="177"/>
      <c r="O108" s="177"/>
      <c r="P108" s="177">
        <v>700</v>
      </c>
      <c r="Q108" s="177">
        <v>600</v>
      </c>
    </row>
    <row r="109" spans="2:19" x14ac:dyDescent="0.25">
      <c r="B109" s="7">
        <v>6.5</v>
      </c>
      <c r="C109" s="177" t="s">
        <v>144</v>
      </c>
      <c r="D109" s="177"/>
      <c r="E109" s="177">
        <v>260</v>
      </c>
      <c r="F109" s="177"/>
      <c r="G109" s="177"/>
      <c r="H109" s="177"/>
      <c r="I109" s="177"/>
      <c r="L109" s="177"/>
      <c r="M109" s="177"/>
      <c r="N109" s="177"/>
      <c r="O109" s="177"/>
      <c r="P109" s="177"/>
      <c r="Q109" s="177"/>
    </row>
    <row r="110" spans="2:19" x14ac:dyDescent="0.25">
      <c r="B110" s="7">
        <v>7</v>
      </c>
      <c r="C110" s="177" t="s">
        <v>145</v>
      </c>
      <c r="D110" s="177"/>
      <c r="E110" s="177">
        <v>270</v>
      </c>
      <c r="F110" s="177"/>
      <c r="G110" s="177"/>
      <c r="H110" s="177"/>
      <c r="I110" s="177"/>
      <c r="L110" s="177" t="s">
        <v>155</v>
      </c>
      <c r="M110" s="177"/>
      <c r="N110" s="177"/>
      <c r="O110" s="177"/>
      <c r="P110" s="179">
        <v>2</v>
      </c>
      <c r="Q110" s="179">
        <v>3</v>
      </c>
    </row>
    <row r="111" spans="2:19" ht="12.75" customHeight="1" x14ac:dyDescent="0.25">
      <c r="B111" s="7">
        <v>7.5</v>
      </c>
      <c r="C111" s="177" t="s">
        <v>55</v>
      </c>
      <c r="D111" s="177"/>
      <c r="E111" s="177">
        <v>270</v>
      </c>
      <c r="F111" s="177"/>
      <c r="G111" s="177"/>
      <c r="H111" s="177"/>
      <c r="I111" s="177"/>
      <c r="L111" s="177"/>
      <c r="M111" s="177"/>
      <c r="N111" s="177"/>
      <c r="O111" s="177"/>
      <c r="P111" s="179"/>
      <c r="Q111" s="179"/>
    </row>
    <row r="112" spans="2:19" x14ac:dyDescent="0.25">
      <c r="B112" s="7">
        <v>8</v>
      </c>
      <c r="C112" s="177" t="s">
        <v>146</v>
      </c>
      <c r="D112" s="177"/>
      <c r="E112" s="177">
        <v>270</v>
      </c>
      <c r="F112" s="177"/>
      <c r="G112" s="177"/>
      <c r="H112" s="177"/>
      <c r="I112" s="177"/>
      <c r="L112" s="177" t="s">
        <v>156</v>
      </c>
      <c r="M112" s="177"/>
      <c r="N112" s="177"/>
      <c r="O112" s="177"/>
      <c r="P112" s="179">
        <v>9.5</v>
      </c>
      <c r="Q112" s="179">
        <v>9</v>
      </c>
    </row>
    <row r="113" spans="2:17" x14ac:dyDescent="0.25">
      <c r="B113" s="7">
        <v>8.5</v>
      </c>
      <c r="C113" s="177" t="s">
        <v>147</v>
      </c>
      <c r="D113" s="177"/>
      <c r="E113" s="177">
        <v>280</v>
      </c>
      <c r="F113" s="177"/>
      <c r="G113" s="177"/>
      <c r="H113" s="177"/>
      <c r="I113" s="177"/>
      <c r="L113" s="177"/>
      <c r="M113" s="177"/>
      <c r="N113" s="177"/>
      <c r="O113" s="177"/>
      <c r="P113" s="179"/>
      <c r="Q113" s="179"/>
    </row>
    <row r="114" spans="2:17" x14ac:dyDescent="0.25">
      <c r="B114" s="7">
        <v>9</v>
      </c>
      <c r="C114" s="177" t="s">
        <v>148</v>
      </c>
      <c r="D114" s="177"/>
      <c r="E114" s="177">
        <v>280</v>
      </c>
      <c r="F114" s="177"/>
      <c r="G114" s="177"/>
      <c r="H114" s="177"/>
      <c r="I114" s="177"/>
      <c r="L114" s="177" t="s">
        <v>78</v>
      </c>
      <c r="M114" s="177"/>
      <c r="N114" s="177"/>
      <c r="O114" s="177"/>
      <c r="P114" s="177">
        <v>550</v>
      </c>
      <c r="Q114" s="177">
        <v>550</v>
      </c>
    </row>
    <row r="115" spans="2:17" x14ac:dyDescent="0.25">
      <c r="B115" s="7">
        <v>9.5</v>
      </c>
      <c r="C115" s="177" t="s">
        <v>149</v>
      </c>
      <c r="D115" s="177"/>
      <c r="E115" s="177">
        <v>280</v>
      </c>
      <c r="F115" s="177"/>
      <c r="G115" s="177"/>
      <c r="H115" s="177"/>
      <c r="I115" s="177"/>
      <c r="L115" s="177"/>
      <c r="M115" s="177"/>
      <c r="N115" s="177"/>
      <c r="O115" s="177"/>
      <c r="P115" s="177"/>
      <c r="Q115" s="177"/>
    </row>
    <row r="121" spans="2:17" ht="26.25" customHeight="1" x14ac:dyDescent="0.25">
      <c r="C121" s="184" t="s">
        <v>136</v>
      </c>
      <c r="D121" s="184"/>
      <c r="E121" s="184"/>
      <c r="F121" s="184"/>
      <c r="G121" s="184"/>
      <c r="H121" s="184"/>
      <c r="I121" s="184"/>
      <c r="J121" s="184"/>
      <c r="K121" s="184"/>
      <c r="L121" s="184"/>
    </row>
    <row r="122" spans="2:17" ht="12.75" customHeight="1" x14ac:dyDescent="0.25">
      <c r="C122" s="182" t="s">
        <v>79</v>
      </c>
      <c r="D122" s="183"/>
      <c r="E122" s="177" t="s">
        <v>157</v>
      </c>
      <c r="F122" s="177"/>
      <c r="G122" s="177"/>
      <c r="H122" s="177"/>
      <c r="I122" s="177"/>
      <c r="J122" s="177"/>
      <c r="K122" s="177"/>
      <c r="L122" s="177"/>
    </row>
    <row r="123" spans="2:17" x14ac:dyDescent="0.25">
      <c r="C123" s="182"/>
      <c r="D123" s="183"/>
      <c r="E123" s="177"/>
      <c r="F123" s="177"/>
      <c r="G123" s="177"/>
      <c r="H123" s="177"/>
      <c r="I123" s="177"/>
      <c r="J123" s="177"/>
      <c r="K123" s="177"/>
      <c r="L123" s="177"/>
    </row>
    <row r="124" spans="2:17" x14ac:dyDescent="0.25">
      <c r="C124" s="182"/>
      <c r="D124" s="183"/>
      <c r="E124" s="177"/>
      <c r="F124" s="177"/>
      <c r="G124" s="177"/>
      <c r="H124" s="177"/>
      <c r="I124" s="177"/>
      <c r="J124" s="177"/>
      <c r="K124" s="177"/>
      <c r="L124" s="177"/>
    </row>
    <row r="125" spans="2:17" x14ac:dyDescent="0.25">
      <c r="C125" s="182"/>
      <c r="D125" s="183"/>
      <c r="E125" s="177"/>
      <c r="F125" s="177"/>
      <c r="G125" s="177"/>
      <c r="H125" s="177"/>
      <c r="I125" s="177"/>
      <c r="J125" s="177"/>
      <c r="K125" s="177"/>
      <c r="L125" s="177"/>
    </row>
    <row r="126" spans="2:17" x14ac:dyDescent="0.25">
      <c r="C126" s="182"/>
      <c r="D126" s="183"/>
      <c r="E126" s="177"/>
      <c r="F126" s="177"/>
      <c r="G126" s="177"/>
      <c r="H126" s="177"/>
      <c r="I126" s="177"/>
      <c r="J126" s="177"/>
      <c r="K126" s="177"/>
      <c r="L126" s="177"/>
    </row>
    <row r="127" spans="2:17" x14ac:dyDescent="0.25">
      <c r="C127" s="182"/>
      <c r="D127" s="183"/>
      <c r="E127" s="177"/>
      <c r="F127" s="177"/>
      <c r="G127" s="177"/>
      <c r="H127" s="177"/>
      <c r="I127" s="177"/>
      <c r="J127" s="177"/>
      <c r="K127" s="177"/>
      <c r="L127" s="177"/>
    </row>
    <row r="128" spans="2:17" x14ac:dyDescent="0.25">
      <c r="C128" s="182"/>
      <c r="D128" s="183"/>
      <c r="E128" s="177"/>
      <c r="F128" s="177"/>
      <c r="G128" s="177"/>
      <c r="H128" s="177"/>
      <c r="I128" s="177"/>
      <c r="J128" s="177"/>
      <c r="K128" s="177"/>
      <c r="L128" s="177"/>
    </row>
    <row r="129" spans="3:14" x14ac:dyDescent="0.25">
      <c r="C129" s="10"/>
      <c r="D129" s="10"/>
      <c r="E129" s="177"/>
      <c r="F129" s="177"/>
      <c r="G129" s="177"/>
      <c r="H129" s="177"/>
      <c r="I129" s="177"/>
      <c r="J129" s="177"/>
      <c r="K129" s="177"/>
      <c r="L129" s="177"/>
    </row>
    <row r="130" spans="3:14" x14ac:dyDescent="0.25">
      <c r="C130" s="10"/>
      <c r="D130" s="10"/>
      <c r="E130" s="177"/>
      <c r="F130" s="177"/>
      <c r="G130" s="177"/>
      <c r="H130" s="177"/>
      <c r="I130" s="177"/>
      <c r="J130" s="177"/>
      <c r="K130" s="177"/>
      <c r="L130" s="177"/>
    </row>
    <row r="131" spans="3:14" x14ac:dyDescent="0.25">
      <c r="C131" s="10"/>
      <c r="D131" s="10"/>
      <c r="E131" s="177"/>
      <c r="F131" s="177"/>
      <c r="G131" s="177"/>
      <c r="H131" s="177"/>
      <c r="I131" s="177"/>
      <c r="J131" s="177"/>
      <c r="K131" s="177"/>
      <c r="L131" s="177"/>
    </row>
    <row r="132" spans="3:14" x14ac:dyDescent="0.25">
      <c r="C132" s="10"/>
      <c r="D132" s="10"/>
      <c r="E132" s="177"/>
      <c r="F132" s="177"/>
      <c r="G132" s="177"/>
      <c r="H132" s="177"/>
      <c r="I132" s="177"/>
      <c r="J132" s="177"/>
      <c r="K132" s="177"/>
      <c r="L132" s="177"/>
    </row>
    <row r="133" spans="3:14" x14ac:dyDescent="0.25">
      <c r="C133" s="10"/>
      <c r="D133" s="10"/>
      <c r="E133" s="177"/>
      <c r="F133" s="177"/>
      <c r="G133" s="177"/>
      <c r="H133" s="177"/>
      <c r="I133" s="177"/>
      <c r="J133" s="177"/>
      <c r="K133" s="177"/>
      <c r="L133" s="177"/>
    </row>
    <row r="138" spans="3:14" x14ac:dyDescent="0.25">
      <c r="E138" s="176" t="s">
        <v>158</v>
      </c>
      <c r="F138" s="176"/>
      <c r="G138" s="176"/>
      <c r="H138" s="176"/>
      <c r="I138" s="176"/>
      <c r="J138" s="176"/>
      <c r="K138" s="176"/>
      <c r="L138" s="176"/>
      <c r="M138" s="176"/>
      <c r="N138" s="176"/>
    </row>
    <row r="139" spans="3:14" x14ac:dyDescent="0.25">
      <c r="E139" s="181" t="s">
        <v>104</v>
      </c>
      <c r="F139" s="181"/>
      <c r="G139" s="181"/>
      <c r="H139" s="181"/>
      <c r="I139" s="181"/>
      <c r="J139" s="181"/>
      <c r="K139" s="181"/>
      <c r="L139" s="181"/>
      <c r="M139" s="181"/>
      <c r="N139" s="181"/>
    </row>
    <row r="140" spans="3:14" x14ac:dyDescent="0.25">
      <c r="E140" s="180" t="s">
        <v>159</v>
      </c>
      <c r="F140" s="180"/>
      <c r="G140" s="177" t="s">
        <v>111</v>
      </c>
      <c r="H140" s="177"/>
      <c r="I140" s="177"/>
      <c r="J140" s="177"/>
      <c r="K140" s="177"/>
      <c r="L140" s="177"/>
      <c r="M140" s="177"/>
      <c r="N140" s="177"/>
    </row>
    <row r="141" spans="3:14" x14ac:dyDescent="0.25">
      <c r="E141" s="180" t="s">
        <v>160</v>
      </c>
      <c r="F141" s="180"/>
      <c r="G141" s="177" t="s">
        <v>106</v>
      </c>
      <c r="H141" s="177"/>
      <c r="I141" s="177"/>
      <c r="J141" s="177"/>
      <c r="K141" s="177"/>
      <c r="L141" s="177"/>
      <c r="M141" s="177"/>
      <c r="N141" s="177"/>
    </row>
    <row r="142" spans="3:14" x14ac:dyDescent="0.25">
      <c r="E142" s="180"/>
      <c r="F142" s="180"/>
      <c r="G142" s="177"/>
      <c r="H142" s="177"/>
      <c r="I142" s="177"/>
      <c r="J142" s="177"/>
      <c r="K142" s="177"/>
      <c r="L142" s="177"/>
      <c r="M142" s="177"/>
      <c r="N142" s="177"/>
    </row>
    <row r="143" spans="3:14" x14ac:dyDescent="0.25">
      <c r="E143" s="180" t="s">
        <v>161</v>
      </c>
      <c r="F143" s="180"/>
      <c r="G143" s="177" t="s">
        <v>107</v>
      </c>
      <c r="H143" s="177"/>
      <c r="I143" s="177"/>
      <c r="J143" s="177"/>
      <c r="K143" s="177"/>
      <c r="L143" s="177"/>
      <c r="M143" s="177"/>
      <c r="N143" s="177"/>
    </row>
    <row r="144" spans="3:14" x14ac:dyDescent="0.25">
      <c r="E144" s="180"/>
      <c r="F144" s="180"/>
      <c r="G144" s="177"/>
      <c r="H144" s="177"/>
      <c r="I144" s="177"/>
      <c r="J144" s="177"/>
      <c r="K144" s="177"/>
      <c r="L144" s="177"/>
      <c r="M144" s="177"/>
      <c r="N144" s="177"/>
    </row>
    <row r="145" spans="2:20" x14ac:dyDescent="0.25">
      <c r="E145" s="180" t="s">
        <v>162</v>
      </c>
      <c r="F145" s="180"/>
      <c r="G145" s="177" t="s">
        <v>169</v>
      </c>
      <c r="H145" s="177"/>
      <c r="I145" s="177"/>
      <c r="J145" s="177"/>
      <c r="K145" s="177"/>
      <c r="L145" s="177"/>
      <c r="M145" s="177"/>
      <c r="N145" s="177"/>
    </row>
    <row r="146" spans="2:20" x14ac:dyDescent="0.25">
      <c r="E146" s="180"/>
      <c r="F146" s="180"/>
      <c r="G146" s="177"/>
      <c r="H146" s="177"/>
      <c r="I146" s="177"/>
      <c r="J146" s="177"/>
      <c r="K146" s="177"/>
      <c r="L146" s="177"/>
      <c r="M146" s="177"/>
      <c r="N146" s="177"/>
    </row>
    <row r="147" spans="2:20" x14ac:dyDescent="0.25">
      <c r="E147" s="180" t="s">
        <v>163</v>
      </c>
      <c r="F147" s="180"/>
      <c r="G147" s="177" t="s">
        <v>110</v>
      </c>
      <c r="H147" s="177"/>
      <c r="I147" s="177"/>
      <c r="J147" s="177"/>
      <c r="K147" s="177"/>
      <c r="L147" s="177"/>
      <c r="M147" s="177"/>
      <c r="N147" s="177"/>
    </row>
    <row r="148" spans="2:20" x14ac:dyDescent="0.25">
      <c r="E148" s="180"/>
      <c r="F148" s="180"/>
      <c r="G148" s="177"/>
      <c r="H148" s="177"/>
      <c r="I148" s="177"/>
      <c r="J148" s="177"/>
      <c r="K148" s="177"/>
      <c r="L148" s="177"/>
      <c r="M148" s="177"/>
      <c r="N148" s="177"/>
    </row>
    <row r="149" spans="2:20" x14ac:dyDescent="0.25">
      <c r="E149" s="180" t="s">
        <v>164</v>
      </c>
      <c r="F149" s="180"/>
      <c r="G149" s="177" t="s">
        <v>109</v>
      </c>
      <c r="H149" s="177"/>
      <c r="I149" s="177"/>
      <c r="J149" s="177"/>
      <c r="K149" s="177"/>
      <c r="L149" s="177"/>
      <c r="M149" s="177"/>
      <c r="N149" s="177"/>
    </row>
    <row r="150" spans="2:20" x14ac:dyDescent="0.25">
      <c r="E150" s="180"/>
      <c r="F150" s="180"/>
      <c r="G150" s="177"/>
      <c r="H150" s="177"/>
      <c r="I150" s="177"/>
      <c r="J150" s="177"/>
      <c r="K150" s="177"/>
      <c r="L150" s="177"/>
      <c r="M150" s="177"/>
      <c r="N150" s="177"/>
    </row>
    <row r="151" spans="2:20" x14ac:dyDescent="0.25">
      <c r="E151" s="180" t="s">
        <v>165</v>
      </c>
      <c r="F151" s="180"/>
      <c r="G151" s="177" t="s">
        <v>172</v>
      </c>
      <c r="H151" s="177"/>
      <c r="I151" s="177"/>
      <c r="J151" s="177"/>
      <c r="K151" s="177"/>
      <c r="L151" s="177"/>
      <c r="M151" s="177"/>
      <c r="N151" s="177"/>
    </row>
    <row r="152" spans="2:20" x14ac:dyDescent="0.25">
      <c r="E152" s="180"/>
      <c r="F152" s="180"/>
      <c r="G152" s="177"/>
      <c r="H152" s="177"/>
      <c r="I152" s="177"/>
      <c r="J152" s="177"/>
      <c r="K152" s="177"/>
      <c r="L152" s="177"/>
      <c r="M152" s="177"/>
      <c r="N152" s="177"/>
    </row>
    <row r="153" spans="2:20" x14ac:dyDescent="0.25">
      <c r="E153" s="180" t="s">
        <v>166</v>
      </c>
      <c r="F153" s="180"/>
      <c r="G153" s="177" t="s">
        <v>170</v>
      </c>
      <c r="H153" s="177"/>
      <c r="I153" s="177"/>
      <c r="J153" s="177"/>
      <c r="K153" s="177"/>
      <c r="L153" s="177"/>
      <c r="M153" s="177"/>
      <c r="N153" s="177"/>
    </row>
    <row r="154" spans="2:20" x14ac:dyDescent="0.25">
      <c r="E154" s="180"/>
      <c r="F154" s="180"/>
      <c r="G154" s="177"/>
      <c r="H154" s="177"/>
      <c r="I154" s="177"/>
      <c r="J154" s="177"/>
      <c r="K154" s="177"/>
      <c r="L154" s="177"/>
      <c r="M154" s="177"/>
      <c r="N154" s="177"/>
    </row>
    <row r="155" spans="2:20" x14ac:dyDescent="0.25">
      <c r="E155" s="180" t="s">
        <v>167</v>
      </c>
      <c r="F155" s="180"/>
      <c r="G155" s="177" t="s">
        <v>171</v>
      </c>
      <c r="H155" s="177"/>
      <c r="I155" s="177"/>
      <c r="J155" s="177"/>
      <c r="K155" s="177"/>
      <c r="L155" s="177"/>
      <c r="M155" s="177"/>
      <c r="N155" s="177"/>
    </row>
    <row r="156" spans="2:20" x14ac:dyDescent="0.25">
      <c r="E156" s="180"/>
      <c r="F156" s="180"/>
      <c r="G156" s="177"/>
      <c r="H156" s="177"/>
      <c r="I156" s="177"/>
      <c r="J156" s="177"/>
      <c r="K156" s="177"/>
      <c r="L156" s="177"/>
      <c r="M156" s="177"/>
      <c r="N156" s="177"/>
    </row>
    <row r="159" spans="2:20" ht="12.75" customHeight="1" x14ac:dyDescent="0.25">
      <c r="B159" s="176" t="s">
        <v>158</v>
      </c>
      <c r="C159" s="176"/>
      <c r="D159" s="176"/>
      <c r="E159" s="176"/>
      <c r="F159" s="176"/>
      <c r="G159" s="176"/>
      <c r="H159" s="176"/>
      <c r="I159" s="176"/>
      <c r="J159" s="176"/>
      <c r="K159" s="17"/>
      <c r="L159" s="176" t="s">
        <v>158</v>
      </c>
      <c r="M159" s="176"/>
      <c r="N159" s="176"/>
      <c r="O159" s="176"/>
      <c r="P159" s="176"/>
      <c r="Q159" s="176"/>
      <c r="R159" s="176"/>
      <c r="S159" s="176"/>
      <c r="T159" s="176"/>
    </row>
    <row r="160" spans="2:20" ht="12.75" customHeight="1" x14ac:dyDescent="0.25">
      <c r="B160" s="178" t="s">
        <v>82</v>
      </c>
      <c r="C160" s="178"/>
      <c r="D160" s="178"/>
      <c r="E160" s="178"/>
      <c r="F160" s="178"/>
      <c r="G160" s="178"/>
      <c r="H160" s="178"/>
      <c r="I160" s="178"/>
      <c r="J160" s="178"/>
      <c r="K160" s="18"/>
      <c r="L160" s="178" t="s">
        <v>70</v>
      </c>
      <c r="M160" s="178"/>
      <c r="N160" s="178"/>
      <c r="O160" s="178"/>
      <c r="P160" s="178"/>
      <c r="Q160" s="178"/>
      <c r="R160" s="178"/>
      <c r="S160" s="178"/>
      <c r="T160" s="178"/>
    </row>
    <row r="161" spans="2:20" x14ac:dyDescent="0.25">
      <c r="B161" s="177" t="s">
        <v>83</v>
      </c>
      <c r="C161" s="177"/>
      <c r="D161" s="177" t="s">
        <v>84</v>
      </c>
      <c r="E161" s="177"/>
      <c r="F161" s="177"/>
      <c r="G161" s="177"/>
      <c r="H161" s="177"/>
      <c r="I161" s="177" t="s">
        <v>85</v>
      </c>
      <c r="J161" s="177" t="s">
        <v>86</v>
      </c>
      <c r="L161" s="177" t="s">
        <v>19</v>
      </c>
      <c r="M161" s="7"/>
      <c r="N161" s="177" t="s">
        <v>20</v>
      </c>
      <c r="O161" s="177"/>
      <c r="P161" s="177"/>
      <c r="Q161" s="177"/>
      <c r="R161" s="177"/>
      <c r="S161" s="177"/>
      <c r="T161" s="177" t="s">
        <v>25</v>
      </c>
    </row>
    <row r="162" spans="2:20" x14ac:dyDescent="0.25">
      <c r="B162" s="177"/>
      <c r="C162" s="177"/>
      <c r="D162" s="177"/>
      <c r="E162" s="177"/>
      <c r="F162" s="177"/>
      <c r="G162" s="177"/>
      <c r="H162" s="177"/>
      <c r="I162" s="177"/>
      <c r="J162" s="177"/>
      <c r="L162" s="177"/>
      <c r="M162" s="7">
        <v>6</v>
      </c>
      <c r="N162" s="7">
        <v>6.5</v>
      </c>
      <c r="O162" s="7">
        <v>7</v>
      </c>
      <c r="P162" s="7">
        <v>7.5</v>
      </c>
      <c r="Q162" s="7">
        <v>8</v>
      </c>
      <c r="R162" s="7">
        <v>8.5</v>
      </c>
      <c r="S162" s="7">
        <v>9</v>
      </c>
      <c r="T162" s="177"/>
    </row>
    <row r="163" spans="2:20" ht="25.5" x14ac:dyDescent="0.25">
      <c r="B163" s="176" t="s">
        <v>87</v>
      </c>
      <c r="C163" s="176"/>
      <c r="D163" s="177" t="s">
        <v>173</v>
      </c>
      <c r="E163" s="177"/>
      <c r="F163" s="177"/>
      <c r="G163" s="177"/>
      <c r="H163" s="177"/>
      <c r="I163" s="19" t="s">
        <v>177</v>
      </c>
      <c r="J163" s="7" t="s">
        <v>103</v>
      </c>
      <c r="L163" s="7" t="s">
        <v>21</v>
      </c>
      <c r="M163" s="7">
        <v>75</v>
      </c>
      <c r="N163" s="7">
        <v>83</v>
      </c>
      <c r="O163" s="7">
        <v>89</v>
      </c>
      <c r="P163" s="7">
        <v>95</v>
      </c>
      <c r="Q163" s="7">
        <v>102</v>
      </c>
      <c r="R163" s="7">
        <v>108</v>
      </c>
      <c r="S163" s="7">
        <v>114</v>
      </c>
      <c r="T163" s="7" t="s">
        <v>24</v>
      </c>
    </row>
    <row r="164" spans="2:20" ht="25.5" x14ac:dyDescent="0.25">
      <c r="B164" s="176" t="s">
        <v>174</v>
      </c>
      <c r="C164" s="176"/>
      <c r="D164" s="177" t="s">
        <v>94</v>
      </c>
      <c r="E164" s="177"/>
      <c r="F164" s="177"/>
      <c r="G164" s="177"/>
      <c r="H164" s="177"/>
      <c r="I164" s="7" t="s">
        <v>99</v>
      </c>
      <c r="J164" s="11">
        <v>2.5</v>
      </c>
      <c r="L164" s="7" t="s">
        <v>23</v>
      </c>
      <c r="M164" s="7" t="s">
        <v>26</v>
      </c>
      <c r="N164" s="7" t="s">
        <v>27</v>
      </c>
      <c r="O164" s="7" t="s">
        <v>178</v>
      </c>
      <c r="P164" s="7" t="s">
        <v>179</v>
      </c>
      <c r="Q164" s="7" t="s">
        <v>30</v>
      </c>
      <c r="R164" s="7" t="s">
        <v>31</v>
      </c>
      <c r="S164" s="7" t="s">
        <v>180</v>
      </c>
      <c r="T164" s="7"/>
    </row>
    <row r="165" spans="2:20" ht="25.5" x14ac:dyDescent="0.25">
      <c r="B165" s="176" t="s">
        <v>89</v>
      </c>
      <c r="C165" s="176"/>
      <c r="D165" s="177" t="s">
        <v>175</v>
      </c>
      <c r="E165" s="177"/>
      <c r="F165" s="177"/>
      <c r="G165" s="177"/>
      <c r="H165" s="177"/>
      <c r="I165" s="7" t="s">
        <v>100</v>
      </c>
      <c r="J165" s="11">
        <v>4</v>
      </c>
      <c r="L165" s="7" t="s">
        <v>22</v>
      </c>
      <c r="M165" s="7">
        <v>70</v>
      </c>
      <c r="N165" s="7">
        <v>80</v>
      </c>
      <c r="O165" s="7">
        <v>85</v>
      </c>
      <c r="P165" s="7">
        <v>95</v>
      </c>
      <c r="Q165" s="7">
        <v>110</v>
      </c>
      <c r="R165" s="7">
        <v>120</v>
      </c>
      <c r="S165" s="7">
        <v>130</v>
      </c>
      <c r="T165" s="7" t="s">
        <v>34</v>
      </c>
    </row>
    <row r="166" spans="2:20" ht="25.5" customHeight="1" x14ac:dyDescent="0.25">
      <c r="B166" s="176" t="s">
        <v>90</v>
      </c>
      <c r="C166" s="176"/>
      <c r="D166" s="177" t="s">
        <v>176</v>
      </c>
      <c r="E166" s="177"/>
      <c r="F166" s="177"/>
      <c r="G166" s="177"/>
      <c r="H166" s="177"/>
      <c r="I166" s="177" t="s">
        <v>100</v>
      </c>
      <c r="J166" s="179">
        <v>4</v>
      </c>
      <c r="L166" s="177" t="s">
        <v>38</v>
      </c>
      <c r="M166" s="177"/>
      <c r="N166" s="177"/>
      <c r="O166" s="177"/>
      <c r="P166" s="177"/>
      <c r="Q166" s="177"/>
      <c r="R166" s="177"/>
      <c r="S166" s="177"/>
      <c r="T166" s="177"/>
    </row>
    <row r="167" spans="2:20" x14ac:dyDescent="0.25">
      <c r="B167" s="176"/>
      <c r="C167" s="176"/>
      <c r="D167" s="177"/>
      <c r="E167" s="177"/>
      <c r="F167" s="177"/>
      <c r="G167" s="177"/>
      <c r="H167" s="177"/>
      <c r="I167" s="177"/>
      <c r="J167" s="179"/>
      <c r="L167" s="7" t="s">
        <v>35</v>
      </c>
      <c r="M167" s="177">
        <v>0.05</v>
      </c>
      <c r="N167" s="177"/>
      <c r="O167" s="177"/>
      <c r="P167" s="177"/>
      <c r="Q167" s="177"/>
      <c r="R167" s="177"/>
      <c r="S167" s="177"/>
      <c r="T167" s="7"/>
    </row>
    <row r="168" spans="2:20" x14ac:dyDescent="0.25">
      <c r="B168" s="176" t="s">
        <v>91</v>
      </c>
      <c r="C168" s="176"/>
      <c r="D168" s="177" t="s">
        <v>97</v>
      </c>
      <c r="E168" s="177"/>
      <c r="F168" s="177"/>
      <c r="G168" s="177"/>
      <c r="H168" s="177"/>
      <c r="I168" s="177" t="s">
        <v>102</v>
      </c>
      <c r="J168" s="177" t="s">
        <v>103</v>
      </c>
      <c r="L168" s="7" t="s">
        <v>36</v>
      </c>
      <c r="M168" s="177">
        <v>0.05</v>
      </c>
      <c r="N168" s="177"/>
      <c r="O168" s="177"/>
      <c r="P168" s="177"/>
      <c r="Q168" s="177"/>
      <c r="R168" s="177"/>
      <c r="S168" s="177"/>
      <c r="T168" s="7"/>
    </row>
    <row r="169" spans="2:20" x14ac:dyDescent="0.25">
      <c r="B169" s="176"/>
      <c r="C169" s="176"/>
      <c r="D169" s="177"/>
      <c r="E169" s="177"/>
      <c r="F169" s="177"/>
      <c r="G169" s="177"/>
      <c r="H169" s="177"/>
      <c r="I169" s="177"/>
      <c r="J169" s="177"/>
      <c r="L169" s="7" t="s">
        <v>181</v>
      </c>
      <c r="M169" s="177">
        <v>0.05</v>
      </c>
      <c r="N169" s="177"/>
      <c r="O169" s="177"/>
      <c r="P169" s="177"/>
      <c r="Q169" s="177"/>
      <c r="R169" s="177"/>
      <c r="S169" s="177"/>
      <c r="T169" s="7"/>
    </row>
    <row r="170" spans="2:20" ht="25.5" x14ac:dyDescent="0.25">
      <c r="B170" s="176"/>
      <c r="C170" s="176"/>
      <c r="D170" s="177"/>
      <c r="E170" s="177"/>
      <c r="F170" s="177"/>
      <c r="G170" s="177"/>
      <c r="H170" s="177"/>
      <c r="I170" s="177"/>
      <c r="J170" s="177"/>
      <c r="L170" s="7" t="s">
        <v>37</v>
      </c>
      <c r="M170" s="7">
        <v>220</v>
      </c>
      <c r="N170" s="7">
        <v>220</v>
      </c>
      <c r="O170" s="7">
        <v>230</v>
      </c>
      <c r="P170" s="7">
        <v>230</v>
      </c>
      <c r="Q170" s="7">
        <v>230</v>
      </c>
      <c r="R170" s="7">
        <v>230</v>
      </c>
      <c r="S170" s="7">
        <v>230</v>
      </c>
      <c r="T170" s="7" t="s">
        <v>182</v>
      </c>
    </row>
    <row r="171" spans="2:20" ht="12.75" customHeight="1" x14ac:dyDescent="0.25">
      <c r="B171" s="176" t="s">
        <v>92</v>
      </c>
      <c r="C171" s="176"/>
      <c r="D171" s="177" t="s">
        <v>97</v>
      </c>
      <c r="E171" s="177"/>
      <c r="F171" s="177"/>
      <c r="G171" s="177"/>
      <c r="H171" s="177"/>
      <c r="I171" s="177" t="s">
        <v>102</v>
      </c>
      <c r="J171" s="177" t="s">
        <v>103</v>
      </c>
      <c r="L171" s="177" t="s">
        <v>18</v>
      </c>
      <c r="M171" s="177" t="s">
        <v>183</v>
      </c>
      <c r="N171" s="177"/>
      <c r="O171" s="177"/>
      <c r="P171" s="177"/>
      <c r="Q171" s="177"/>
      <c r="R171" s="177"/>
      <c r="S171" s="177"/>
      <c r="T171" s="177"/>
    </row>
    <row r="172" spans="2:20" x14ac:dyDescent="0.25">
      <c r="B172" s="176"/>
      <c r="C172" s="176"/>
      <c r="D172" s="177"/>
      <c r="E172" s="177"/>
      <c r="F172" s="177"/>
      <c r="G172" s="177"/>
      <c r="H172" s="177"/>
      <c r="I172" s="177"/>
      <c r="J172" s="177"/>
      <c r="L172" s="177"/>
      <c r="M172" s="177"/>
      <c r="N172" s="177"/>
      <c r="O172" s="177"/>
      <c r="P172" s="177"/>
      <c r="Q172" s="177"/>
      <c r="R172" s="177"/>
      <c r="S172" s="177"/>
      <c r="T172" s="177"/>
    </row>
    <row r="176" spans="2:20" ht="12.75" customHeight="1" x14ac:dyDescent="0.25">
      <c r="G176" s="176" t="s">
        <v>158</v>
      </c>
      <c r="H176" s="176"/>
      <c r="I176" s="176"/>
      <c r="J176" s="176"/>
      <c r="K176" s="176"/>
      <c r="L176" s="176"/>
      <c r="M176" s="176"/>
      <c r="N176" s="176"/>
      <c r="O176" s="17"/>
    </row>
    <row r="177" spans="2:15" ht="12.75" customHeight="1" x14ac:dyDescent="0.25">
      <c r="G177" s="178" t="s">
        <v>65</v>
      </c>
      <c r="H177" s="178"/>
      <c r="I177" s="178"/>
      <c r="J177" s="178"/>
      <c r="K177" s="178"/>
      <c r="L177" s="178"/>
      <c r="M177" s="178"/>
      <c r="N177" s="178"/>
      <c r="O177" s="18"/>
    </row>
    <row r="178" spans="2:15" ht="12.75" customHeight="1" x14ac:dyDescent="0.25">
      <c r="G178" s="177" t="s">
        <v>66</v>
      </c>
      <c r="H178" s="177"/>
      <c r="I178" s="177"/>
      <c r="J178" s="177"/>
      <c r="K178" s="177" t="s">
        <v>67</v>
      </c>
      <c r="L178" s="177"/>
      <c r="M178" s="177"/>
      <c r="N178" s="177"/>
      <c r="O178" s="17"/>
    </row>
    <row r="179" spans="2:15" x14ac:dyDescent="0.25">
      <c r="G179" s="177"/>
      <c r="H179" s="177"/>
      <c r="I179" s="177"/>
      <c r="J179" s="177"/>
      <c r="K179" s="177"/>
      <c r="L179" s="177"/>
      <c r="M179" s="177"/>
      <c r="N179" s="177"/>
      <c r="O179" s="17"/>
    </row>
    <row r="180" spans="2:15" ht="12.75" customHeight="1" x14ac:dyDescent="0.25">
      <c r="G180" s="177" t="s">
        <v>68</v>
      </c>
      <c r="H180" s="177"/>
      <c r="I180" s="177" t="s">
        <v>69</v>
      </c>
      <c r="J180" s="177"/>
      <c r="K180" s="177" t="s">
        <v>68</v>
      </c>
      <c r="L180" s="177"/>
      <c r="M180" s="177" t="s">
        <v>69</v>
      </c>
      <c r="N180" s="177"/>
      <c r="O180" s="17"/>
    </row>
    <row r="181" spans="2:15" x14ac:dyDescent="0.25">
      <c r="G181" s="177"/>
      <c r="H181" s="177"/>
      <c r="I181" s="177"/>
      <c r="J181" s="177"/>
      <c r="K181" s="177"/>
      <c r="L181" s="177"/>
      <c r="M181" s="177"/>
      <c r="N181" s="177"/>
      <c r="O181" s="17"/>
    </row>
    <row r="182" spans="2:15" x14ac:dyDescent="0.25">
      <c r="G182" s="177"/>
      <c r="H182" s="177"/>
      <c r="I182" s="177"/>
      <c r="J182" s="177"/>
      <c r="K182" s="177"/>
      <c r="L182" s="177"/>
      <c r="M182" s="177"/>
      <c r="N182" s="177"/>
      <c r="O182" s="17"/>
    </row>
    <row r="183" spans="2:15" x14ac:dyDescent="0.25">
      <c r="G183" s="177">
        <v>14</v>
      </c>
      <c r="H183" s="177"/>
      <c r="I183" s="177">
        <v>500</v>
      </c>
      <c r="J183" s="177"/>
      <c r="K183" s="177">
        <v>14</v>
      </c>
      <c r="L183" s="177"/>
      <c r="M183" s="177">
        <v>400</v>
      </c>
      <c r="N183" s="177"/>
      <c r="O183" s="17"/>
    </row>
    <row r="186" spans="2:15" x14ac:dyDescent="0.25">
      <c r="B186" s="176" t="s">
        <v>158</v>
      </c>
      <c r="C186" s="176"/>
      <c r="D186" s="176"/>
      <c r="E186" s="176"/>
      <c r="F186" s="176"/>
      <c r="G186" s="176"/>
      <c r="H186" s="176"/>
      <c r="I186" s="176"/>
      <c r="J186" s="176"/>
    </row>
    <row r="187" spans="2:15" x14ac:dyDescent="0.25">
      <c r="B187" s="177" t="s">
        <v>184</v>
      </c>
      <c r="C187" s="177"/>
      <c r="D187" s="177"/>
      <c r="E187" s="177"/>
      <c r="F187" s="177"/>
      <c r="G187" s="177"/>
      <c r="H187" s="177"/>
      <c r="I187" s="177"/>
      <c r="J187" s="177"/>
    </row>
    <row r="188" spans="2:15" x14ac:dyDescent="0.25">
      <c r="B188" s="177" t="s">
        <v>185</v>
      </c>
      <c r="C188" s="177"/>
      <c r="D188" s="177"/>
      <c r="E188" s="177" t="s">
        <v>188</v>
      </c>
      <c r="F188" s="177"/>
      <c r="G188" s="177"/>
      <c r="H188" s="177"/>
      <c r="I188" s="177"/>
      <c r="J188" s="177"/>
    </row>
    <row r="189" spans="2:15" x14ac:dyDescent="0.25">
      <c r="B189" s="177"/>
      <c r="C189" s="177"/>
      <c r="D189" s="177"/>
      <c r="E189" s="177"/>
      <c r="F189" s="177"/>
      <c r="G189" s="177"/>
      <c r="H189" s="177"/>
      <c r="I189" s="177"/>
      <c r="J189" s="177"/>
    </row>
    <row r="190" spans="2:15" x14ac:dyDescent="0.25">
      <c r="B190" s="177" t="s">
        <v>186</v>
      </c>
      <c r="C190" s="177"/>
      <c r="D190" s="177"/>
      <c r="E190" s="177" t="s">
        <v>187</v>
      </c>
      <c r="F190" s="177"/>
      <c r="G190" s="177"/>
      <c r="H190" s="177"/>
      <c r="I190" s="177"/>
      <c r="J190" s="177"/>
    </row>
    <row r="191" spans="2:15" x14ac:dyDescent="0.25">
      <c r="B191" s="177"/>
      <c r="C191" s="177"/>
      <c r="D191" s="177"/>
      <c r="E191" s="177"/>
      <c r="F191" s="177"/>
      <c r="G191" s="177"/>
      <c r="H191" s="177"/>
      <c r="I191" s="177"/>
      <c r="J191" s="177"/>
    </row>
  </sheetData>
  <mergeCells count="276">
    <mergeCell ref="B2:J2"/>
    <mergeCell ref="B15:J15"/>
    <mergeCell ref="L2:Q2"/>
    <mergeCell ref="M7:M8"/>
    <mergeCell ref="M9:M10"/>
    <mergeCell ref="O7:O8"/>
    <mergeCell ref="O9:O10"/>
    <mergeCell ref="P5:P7"/>
    <mergeCell ref="P8:P11"/>
    <mergeCell ref="B4:B5"/>
    <mergeCell ref="J4:J5"/>
    <mergeCell ref="D4:I4"/>
    <mergeCell ref="C10:I10"/>
    <mergeCell ref="C11:I11"/>
    <mergeCell ref="C13:J13"/>
    <mergeCell ref="B3:J3"/>
    <mergeCell ref="L3:Q3"/>
    <mergeCell ref="D19:E21"/>
    <mergeCell ref="F19:G21"/>
    <mergeCell ref="H19:J21"/>
    <mergeCell ref="Q5:Q7"/>
    <mergeCell ref="Q8:Q11"/>
    <mergeCell ref="B16:J16"/>
    <mergeCell ref="B17:E18"/>
    <mergeCell ref="F17:J18"/>
    <mergeCell ref="L19:N20"/>
    <mergeCell ref="O19:P20"/>
    <mergeCell ref="Q19:R20"/>
    <mergeCell ref="L21:N22"/>
    <mergeCell ref="O21:P22"/>
    <mergeCell ref="Q21:R22"/>
    <mergeCell ref="L17:N18"/>
    <mergeCell ref="O17:R17"/>
    <mergeCell ref="L15:R15"/>
    <mergeCell ref="L16:R16"/>
    <mergeCell ref="O18:P18"/>
    <mergeCell ref="Q18:R18"/>
    <mergeCell ref="B24:J24"/>
    <mergeCell ref="L29:R29"/>
    <mergeCell ref="L30:M36"/>
    <mergeCell ref="N30:R41"/>
    <mergeCell ref="B25:D30"/>
    <mergeCell ref="E25:J30"/>
    <mergeCell ref="B32:J32"/>
    <mergeCell ref="L23:N24"/>
    <mergeCell ref="O23:P24"/>
    <mergeCell ref="Q23:R24"/>
    <mergeCell ref="L25:N26"/>
    <mergeCell ref="O25:P26"/>
    <mergeCell ref="Q25:R26"/>
    <mergeCell ref="B36:C36"/>
    <mergeCell ref="B37:C37"/>
    <mergeCell ref="B38:C38"/>
    <mergeCell ref="B39:C40"/>
    <mergeCell ref="B41:C42"/>
    <mergeCell ref="B22:C22"/>
    <mergeCell ref="D22:E22"/>
    <mergeCell ref="F22:G22"/>
    <mergeCell ref="H22:J22"/>
    <mergeCell ref="B19:C21"/>
    <mergeCell ref="B43:C44"/>
    <mergeCell ref="B33:J33"/>
    <mergeCell ref="B34:C35"/>
    <mergeCell ref="D34:H35"/>
    <mergeCell ref="I34:I35"/>
    <mergeCell ref="J34:J35"/>
    <mergeCell ref="D41:H42"/>
    <mergeCell ref="I41:I42"/>
    <mergeCell ref="J41:J42"/>
    <mergeCell ref="D43:H44"/>
    <mergeCell ref="I43:I44"/>
    <mergeCell ref="J43:J44"/>
    <mergeCell ref="D36:H36"/>
    <mergeCell ref="D37:H37"/>
    <mergeCell ref="D38:H38"/>
    <mergeCell ref="D39:H40"/>
    <mergeCell ref="I39:I40"/>
    <mergeCell ref="J39:J40"/>
    <mergeCell ref="B52:D52"/>
    <mergeCell ref="B53:D53"/>
    <mergeCell ref="E48:J48"/>
    <mergeCell ref="E49:J49"/>
    <mergeCell ref="E50:J50"/>
    <mergeCell ref="E51:J51"/>
    <mergeCell ref="E52:J52"/>
    <mergeCell ref="E53:J53"/>
    <mergeCell ref="B46:J46"/>
    <mergeCell ref="B47:J47"/>
    <mergeCell ref="B48:D48"/>
    <mergeCell ref="B49:D49"/>
    <mergeCell ref="B50:D50"/>
    <mergeCell ref="B51:D51"/>
    <mergeCell ref="N46:R46"/>
    <mergeCell ref="N47:R48"/>
    <mergeCell ref="N49:R50"/>
    <mergeCell ref="N51:R52"/>
    <mergeCell ref="N53:R54"/>
    <mergeCell ref="N55:R56"/>
    <mergeCell ref="N57:R58"/>
    <mergeCell ref="L44:R44"/>
    <mergeCell ref="L45:R45"/>
    <mergeCell ref="L46:M46"/>
    <mergeCell ref="L47:M48"/>
    <mergeCell ref="L49:M50"/>
    <mergeCell ref="L51:M52"/>
    <mergeCell ref="L59:M60"/>
    <mergeCell ref="L61:M62"/>
    <mergeCell ref="N59:R60"/>
    <mergeCell ref="N61:R62"/>
    <mergeCell ref="L65:R65"/>
    <mergeCell ref="L66:R66"/>
    <mergeCell ref="L53:M54"/>
    <mergeCell ref="L55:M56"/>
    <mergeCell ref="L57:M58"/>
    <mergeCell ref="Q71:R71"/>
    <mergeCell ref="L70:O70"/>
    <mergeCell ref="L71:O71"/>
    <mergeCell ref="E76:F76"/>
    <mergeCell ref="G76:N76"/>
    <mergeCell ref="E75:N75"/>
    <mergeCell ref="E74:N74"/>
    <mergeCell ref="L67:O68"/>
    <mergeCell ref="P67:P68"/>
    <mergeCell ref="Q67:R68"/>
    <mergeCell ref="L69:O69"/>
    <mergeCell ref="Q69:R69"/>
    <mergeCell ref="Q70:R70"/>
    <mergeCell ref="G89:N90"/>
    <mergeCell ref="G91:N92"/>
    <mergeCell ref="E94:K94"/>
    <mergeCell ref="E95:K95"/>
    <mergeCell ref="E96:H97"/>
    <mergeCell ref="I96:I97"/>
    <mergeCell ref="E89:F90"/>
    <mergeCell ref="E91:F92"/>
    <mergeCell ref="G77:N78"/>
    <mergeCell ref="G79:N80"/>
    <mergeCell ref="G81:N82"/>
    <mergeCell ref="G83:N84"/>
    <mergeCell ref="G85:N86"/>
    <mergeCell ref="E83:F84"/>
    <mergeCell ref="E85:F86"/>
    <mergeCell ref="E87:F88"/>
    <mergeCell ref="G87:N88"/>
    <mergeCell ref="E77:F78"/>
    <mergeCell ref="E79:F80"/>
    <mergeCell ref="E81:F82"/>
    <mergeCell ref="B104:B105"/>
    <mergeCell ref="C104:D105"/>
    <mergeCell ref="E104:F105"/>
    <mergeCell ref="G104:I105"/>
    <mergeCell ref="B102:I102"/>
    <mergeCell ref="B103:I103"/>
    <mergeCell ref="J96:K97"/>
    <mergeCell ref="E98:H98"/>
    <mergeCell ref="J98:K98"/>
    <mergeCell ref="E99:H99"/>
    <mergeCell ref="J99:K99"/>
    <mergeCell ref="E100:H100"/>
    <mergeCell ref="J100:K100"/>
    <mergeCell ref="G106:I115"/>
    <mergeCell ref="C112:D112"/>
    <mergeCell ref="C113:D113"/>
    <mergeCell ref="C114:D114"/>
    <mergeCell ref="C115:D115"/>
    <mergeCell ref="E112:F112"/>
    <mergeCell ref="E113:F113"/>
    <mergeCell ref="E114:F114"/>
    <mergeCell ref="E115:F115"/>
    <mergeCell ref="C110:D110"/>
    <mergeCell ref="E110:F110"/>
    <mergeCell ref="C111:D111"/>
    <mergeCell ref="E111:F111"/>
    <mergeCell ref="C108:D108"/>
    <mergeCell ref="E108:F108"/>
    <mergeCell ref="C109:D109"/>
    <mergeCell ref="E109:F109"/>
    <mergeCell ref="C106:D106"/>
    <mergeCell ref="E106:F106"/>
    <mergeCell ref="C107:D107"/>
    <mergeCell ref="E107:F107"/>
    <mergeCell ref="L106:O107"/>
    <mergeCell ref="P106:P107"/>
    <mergeCell ref="Q106:Q107"/>
    <mergeCell ref="L108:O109"/>
    <mergeCell ref="L110:O111"/>
    <mergeCell ref="L112:O113"/>
    <mergeCell ref="L102:Q102"/>
    <mergeCell ref="L103:Q103"/>
    <mergeCell ref="L104:O105"/>
    <mergeCell ref="P104:Q104"/>
    <mergeCell ref="L114:O115"/>
    <mergeCell ref="P108:P109"/>
    <mergeCell ref="Q108:Q109"/>
    <mergeCell ref="P110:P111"/>
    <mergeCell ref="P112:P113"/>
    <mergeCell ref="P114:P115"/>
    <mergeCell ref="Q110:Q111"/>
    <mergeCell ref="Q112:Q113"/>
    <mergeCell ref="Q114:Q115"/>
    <mergeCell ref="E139:N139"/>
    <mergeCell ref="E140:F140"/>
    <mergeCell ref="G140:N140"/>
    <mergeCell ref="E141:F142"/>
    <mergeCell ref="G141:N142"/>
    <mergeCell ref="E143:F144"/>
    <mergeCell ref="G143:N144"/>
    <mergeCell ref="C122:D128"/>
    <mergeCell ref="C121:L121"/>
    <mergeCell ref="E122:L133"/>
    <mergeCell ref="E138:N138"/>
    <mergeCell ref="E151:F152"/>
    <mergeCell ref="G151:N152"/>
    <mergeCell ref="E153:F154"/>
    <mergeCell ref="G153:N154"/>
    <mergeCell ref="E155:F156"/>
    <mergeCell ref="G155:N156"/>
    <mergeCell ref="E145:F146"/>
    <mergeCell ref="G145:N146"/>
    <mergeCell ref="E147:F148"/>
    <mergeCell ref="G147:N148"/>
    <mergeCell ref="E149:F150"/>
    <mergeCell ref="G149:N150"/>
    <mergeCell ref="B171:C172"/>
    <mergeCell ref="D171:H172"/>
    <mergeCell ref="I171:I172"/>
    <mergeCell ref="J171:J172"/>
    <mergeCell ref="B159:J159"/>
    <mergeCell ref="B166:C167"/>
    <mergeCell ref="D166:H167"/>
    <mergeCell ref="I166:I167"/>
    <mergeCell ref="J166:J167"/>
    <mergeCell ref="B168:C170"/>
    <mergeCell ref="D168:H170"/>
    <mergeCell ref="I168:I170"/>
    <mergeCell ref="J168:J170"/>
    <mergeCell ref="B163:C163"/>
    <mergeCell ref="D163:H163"/>
    <mergeCell ref="B164:C164"/>
    <mergeCell ref="D164:H164"/>
    <mergeCell ref="B165:C165"/>
    <mergeCell ref="D165:H165"/>
    <mergeCell ref="B160:J160"/>
    <mergeCell ref="B161:C162"/>
    <mergeCell ref="D161:H162"/>
    <mergeCell ref="I161:I162"/>
    <mergeCell ref="J161:J162"/>
    <mergeCell ref="M168:S168"/>
    <mergeCell ref="M169:S169"/>
    <mergeCell ref="L166:T166"/>
    <mergeCell ref="L171:L172"/>
    <mergeCell ref="M171:T172"/>
    <mergeCell ref="L159:T159"/>
    <mergeCell ref="L160:T160"/>
    <mergeCell ref="L161:L162"/>
    <mergeCell ref="N161:S161"/>
    <mergeCell ref="T161:T162"/>
    <mergeCell ref="M167:S167"/>
    <mergeCell ref="M180:N182"/>
    <mergeCell ref="K178:N179"/>
    <mergeCell ref="M183:N183"/>
    <mergeCell ref="G178:J179"/>
    <mergeCell ref="G180:H182"/>
    <mergeCell ref="I180:J182"/>
    <mergeCell ref="K180:L182"/>
    <mergeCell ref="G176:N176"/>
    <mergeCell ref="G177:N177"/>
    <mergeCell ref="B186:J186"/>
    <mergeCell ref="B187:J187"/>
    <mergeCell ref="B188:D189"/>
    <mergeCell ref="B190:D191"/>
    <mergeCell ref="E188:J189"/>
    <mergeCell ref="E190:J191"/>
    <mergeCell ref="G183:H183"/>
    <mergeCell ref="I183:J183"/>
    <mergeCell ref="K183:L18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7"/>
  <sheetViews>
    <sheetView topLeftCell="A16" zoomScale="70" zoomScaleNormal="70" workbookViewId="0">
      <selection activeCell="Q22" sqref="Q22"/>
    </sheetView>
  </sheetViews>
  <sheetFormatPr defaultRowHeight="15" x14ac:dyDescent="0.25"/>
  <cols>
    <col min="1" max="16384" width="9.140625" style="20"/>
  </cols>
  <sheetData>
    <row r="2" spans="2:38" ht="15" customHeight="1" x14ac:dyDescent="0.25">
      <c r="B2" s="194" t="s">
        <v>209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R2" s="197" t="s">
        <v>290</v>
      </c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202" t="s">
        <v>288</v>
      </c>
      <c r="AK2" s="202"/>
      <c r="AL2" s="203">
        <v>1</v>
      </c>
    </row>
    <row r="3" spans="2:38" x14ac:dyDescent="0.25"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202"/>
      <c r="AK3" s="202"/>
      <c r="AL3" s="203"/>
    </row>
    <row r="4" spans="2:38" ht="51" customHeight="1" x14ac:dyDescent="0.25">
      <c r="B4" s="195" t="s">
        <v>194</v>
      </c>
      <c r="C4" s="195"/>
      <c r="D4" s="21"/>
      <c r="E4" s="195" t="s">
        <v>192</v>
      </c>
      <c r="F4" s="195"/>
      <c r="G4" s="21"/>
      <c r="H4" s="195" t="s">
        <v>189</v>
      </c>
      <c r="I4" s="195"/>
      <c r="J4" s="21"/>
      <c r="K4" s="195" t="s">
        <v>192</v>
      </c>
      <c r="L4" s="195"/>
      <c r="M4" s="21"/>
      <c r="N4" s="195" t="s">
        <v>190</v>
      </c>
      <c r="O4" s="195"/>
      <c r="R4" s="23" t="s">
        <v>258</v>
      </c>
      <c r="S4" s="196" t="s">
        <v>272</v>
      </c>
      <c r="T4" s="196"/>
      <c r="U4" s="196"/>
      <c r="V4" s="196" t="s">
        <v>269</v>
      </c>
      <c r="W4" s="196"/>
      <c r="X4" s="196" t="s">
        <v>264</v>
      </c>
      <c r="Y4" s="196"/>
      <c r="Z4" s="196" t="s">
        <v>273</v>
      </c>
      <c r="AA4" s="196"/>
      <c r="AB4" s="196"/>
      <c r="AC4" s="196" t="s">
        <v>274</v>
      </c>
      <c r="AD4" s="196"/>
      <c r="AE4" s="196"/>
      <c r="AF4" s="196" t="s">
        <v>270</v>
      </c>
      <c r="AG4" s="196"/>
      <c r="AH4" s="196" t="s">
        <v>271</v>
      </c>
      <c r="AI4" s="196"/>
    </row>
    <row r="5" spans="2:38" ht="29.25" customHeight="1" x14ac:dyDescent="0.25">
      <c r="N5" s="193"/>
      <c r="O5" s="193"/>
      <c r="R5" s="23">
        <v>1</v>
      </c>
      <c r="S5" s="196" t="s">
        <v>275</v>
      </c>
      <c r="T5" s="196"/>
      <c r="U5" s="196"/>
      <c r="V5" s="196">
        <v>1E-4</v>
      </c>
      <c r="W5" s="196"/>
      <c r="X5" s="196">
        <v>300</v>
      </c>
      <c r="Y5" s="196"/>
      <c r="Z5" s="198">
        <f>V5*744000*AL2</f>
        <v>74.400000000000006</v>
      </c>
      <c r="AA5" s="198"/>
      <c r="AB5" s="198"/>
      <c r="AC5" s="198">
        <f t="shared" ref="AC5:AC21" si="0">Z5*30</f>
        <v>2232</v>
      </c>
      <c r="AD5" s="198"/>
      <c r="AE5" s="198"/>
      <c r="AF5" s="198">
        <f t="shared" ref="AF5:AF21" si="1">AC5*X5</f>
        <v>669600</v>
      </c>
      <c r="AG5" s="198"/>
      <c r="AH5" s="198">
        <f t="shared" ref="AH5:AH22" si="2">AF5*12</f>
        <v>8035200</v>
      </c>
      <c r="AI5" s="198"/>
    </row>
    <row r="6" spans="2:38" x14ac:dyDescent="0.25">
      <c r="N6" s="193"/>
      <c r="O6" s="193"/>
      <c r="R6" s="23">
        <v>2</v>
      </c>
      <c r="S6" s="196" t="s">
        <v>276</v>
      </c>
      <c r="T6" s="196"/>
      <c r="U6" s="196"/>
      <c r="V6" s="196">
        <v>5.3000000000000001E-5</v>
      </c>
      <c r="W6" s="196"/>
      <c r="X6" s="196">
        <v>429</v>
      </c>
      <c r="Y6" s="196"/>
      <c r="Z6" s="198">
        <f>V6*744000*AL2</f>
        <v>39.432000000000002</v>
      </c>
      <c r="AA6" s="198"/>
      <c r="AB6" s="198"/>
      <c r="AC6" s="198">
        <f t="shared" si="0"/>
        <v>1182.96</v>
      </c>
      <c r="AD6" s="198"/>
      <c r="AE6" s="198"/>
      <c r="AF6" s="198">
        <f t="shared" si="1"/>
        <v>507489.84</v>
      </c>
      <c r="AG6" s="198"/>
      <c r="AH6" s="198">
        <f t="shared" si="2"/>
        <v>6089878.0800000001</v>
      </c>
      <c r="AI6" s="198"/>
    </row>
    <row r="7" spans="2:38" x14ac:dyDescent="0.25">
      <c r="B7" s="195" t="s">
        <v>195</v>
      </c>
      <c r="C7" s="195"/>
      <c r="D7" s="193"/>
      <c r="E7" s="195" t="s">
        <v>193</v>
      </c>
      <c r="F7" s="195"/>
      <c r="G7" s="193"/>
      <c r="H7" s="195" t="s">
        <v>193</v>
      </c>
      <c r="I7" s="195"/>
      <c r="J7" s="193"/>
      <c r="K7" s="195" t="s">
        <v>193</v>
      </c>
      <c r="L7" s="195"/>
      <c r="M7" s="193"/>
      <c r="N7" s="195" t="s">
        <v>191</v>
      </c>
      <c r="O7" s="195"/>
      <c r="R7" s="23">
        <v>3</v>
      </c>
      <c r="S7" s="196" t="s">
        <v>277</v>
      </c>
      <c r="T7" s="196"/>
      <c r="U7" s="196"/>
      <c r="V7" s="196">
        <v>1E-4</v>
      </c>
      <c r="W7" s="196"/>
      <c r="X7" s="196">
        <v>80</v>
      </c>
      <c r="Y7" s="196"/>
      <c r="Z7" s="198">
        <f>V7*744000*AL2</f>
        <v>74.400000000000006</v>
      </c>
      <c r="AA7" s="198"/>
      <c r="AB7" s="198"/>
      <c r="AC7" s="198">
        <f t="shared" si="0"/>
        <v>2232</v>
      </c>
      <c r="AD7" s="198"/>
      <c r="AE7" s="198"/>
      <c r="AF7" s="198">
        <f t="shared" si="1"/>
        <v>178560</v>
      </c>
      <c r="AG7" s="198"/>
      <c r="AH7" s="198">
        <f t="shared" si="2"/>
        <v>2142720</v>
      </c>
      <c r="AI7" s="198"/>
    </row>
    <row r="8" spans="2:38" x14ac:dyDescent="0.25">
      <c r="B8" s="195"/>
      <c r="C8" s="195"/>
      <c r="D8" s="193"/>
      <c r="E8" s="195"/>
      <c r="F8" s="195"/>
      <c r="G8" s="193"/>
      <c r="H8" s="195"/>
      <c r="I8" s="195"/>
      <c r="J8" s="193"/>
      <c r="K8" s="195"/>
      <c r="L8" s="195"/>
      <c r="M8" s="193"/>
      <c r="N8" s="195"/>
      <c r="O8" s="195"/>
      <c r="R8" s="23">
        <v>4</v>
      </c>
      <c r="S8" s="196" t="s">
        <v>278</v>
      </c>
      <c r="T8" s="196"/>
      <c r="U8" s="196"/>
      <c r="V8" s="196">
        <v>2.94E-5</v>
      </c>
      <c r="W8" s="196"/>
      <c r="X8" s="196">
        <v>450</v>
      </c>
      <c r="Y8" s="196"/>
      <c r="Z8" s="198">
        <f>V8*744000*AL2</f>
        <v>21.8736</v>
      </c>
      <c r="AA8" s="198"/>
      <c r="AB8" s="198"/>
      <c r="AC8" s="198">
        <f t="shared" si="0"/>
        <v>656.20799999999997</v>
      </c>
      <c r="AD8" s="198"/>
      <c r="AE8" s="198"/>
      <c r="AF8" s="198">
        <f t="shared" si="1"/>
        <v>295293.59999999998</v>
      </c>
      <c r="AG8" s="198"/>
      <c r="AH8" s="198">
        <f t="shared" si="2"/>
        <v>3543523.1999999997</v>
      </c>
      <c r="AI8" s="198"/>
    </row>
    <row r="9" spans="2:38" x14ac:dyDescent="0.25">
      <c r="B9" s="193"/>
      <c r="C9" s="193"/>
      <c r="R9" s="23">
        <v>5</v>
      </c>
      <c r="S9" s="196" t="s">
        <v>279</v>
      </c>
      <c r="T9" s="196"/>
      <c r="U9" s="196"/>
      <c r="V9" s="196">
        <v>2.94E-5</v>
      </c>
      <c r="W9" s="196"/>
      <c r="X9" s="196">
        <v>360</v>
      </c>
      <c r="Y9" s="196"/>
      <c r="Z9" s="198">
        <f>V9*744000*AL2</f>
        <v>21.8736</v>
      </c>
      <c r="AA9" s="198"/>
      <c r="AB9" s="198"/>
      <c r="AC9" s="198">
        <f t="shared" si="0"/>
        <v>656.20799999999997</v>
      </c>
      <c r="AD9" s="198"/>
      <c r="AE9" s="198"/>
      <c r="AF9" s="198">
        <f t="shared" si="1"/>
        <v>236234.87999999998</v>
      </c>
      <c r="AG9" s="198"/>
      <c r="AH9" s="198">
        <f t="shared" si="2"/>
        <v>2834818.5599999996</v>
      </c>
      <c r="AI9" s="198"/>
    </row>
    <row r="10" spans="2:38" x14ac:dyDescent="0.25">
      <c r="B10" s="193"/>
      <c r="C10" s="193"/>
      <c r="R10" s="23">
        <v>6</v>
      </c>
      <c r="S10" s="196" t="s">
        <v>280</v>
      </c>
      <c r="T10" s="196"/>
      <c r="U10" s="196"/>
      <c r="V10" s="196">
        <v>6.1E-6</v>
      </c>
      <c r="W10" s="196"/>
      <c r="X10" s="196">
        <v>1000</v>
      </c>
      <c r="Y10" s="196"/>
      <c r="Z10" s="198">
        <f>V10*744000*AL2</f>
        <v>4.5384000000000002</v>
      </c>
      <c r="AA10" s="198"/>
      <c r="AB10" s="198"/>
      <c r="AC10" s="198">
        <f t="shared" si="0"/>
        <v>136.15200000000002</v>
      </c>
      <c r="AD10" s="198"/>
      <c r="AE10" s="198"/>
      <c r="AF10" s="198">
        <f t="shared" si="1"/>
        <v>136152.00000000003</v>
      </c>
      <c r="AG10" s="198"/>
      <c r="AH10" s="198">
        <f t="shared" si="2"/>
        <v>1633824.0000000005</v>
      </c>
      <c r="AI10" s="198"/>
    </row>
    <row r="11" spans="2:38" x14ac:dyDescent="0.25">
      <c r="B11" s="195" t="s">
        <v>196</v>
      </c>
      <c r="C11" s="195"/>
      <c r="D11" s="193"/>
      <c r="E11" s="195" t="s">
        <v>195</v>
      </c>
      <c r="F11" s="195"/>
      <c r="G11" s="193"/>
      <c r="H11" s="195" t="s">
        <v>197</v>
      </c>
      <c r="I11" s="195"/>
      <c r="J11" s="193"/>
      <c r="K11" s="195" t="s">
        <v>198</v>
      </c>
      <c r="L11" s="195"/>
      <c r="M11" s="193"/>
      <c r="N11" s="195" t="s">
        <v>195</v>
      </c>
      <c r="O11" s="195"/>
      <c r="R11" s="23">
        <v>7</v>
      </c>
      <c r="S11" s="196" t="s">
        <v>281</v>
      </c>
      <c r="T11" s="196"/>
      <c r="U11" s="196"/>
      <c r="V11" s="196">
        <v>4.1599999999999997E-4</v>
      </c>
      <c r="W11" s="196"/>
      <c r="X11" s="196">
        <v>55</v>
      </c>
      <c r="Y11" s="196"/>
      <c r="Z11" s="198">
        <f>V11*744000*AL2</f>
        <v>309.50399999999996</v>
      </c>
      <c r="AA11" s="198"/>
      <c r="AB11" s="198"/>
      <c r="AC11" s="198">
        <f t="shared" si="0"/>
        <v>9285.119999999999</v>
      </c>
      <c r="AD11" s="198"/>
      <c r="AE11" s="198"/>
      <c r="AF11" s="198">
        <f t="shared" si="1"/>
        <v>510681.59999999992</v>
      </c>
      <c r="AG11" s="198"/>
      <c r="AH11" s="198">
        <f t="shared" si="2"/>
        <v>6128179.1999999993</v>
      </c>
      <c r="AI11" s="198"/>
    </row>
    <row r="12" spans="2:38" ht="29.25" customHeight="1" x14ac:dyDescent="0.25">
      <c r="B12" s="195"/>
      <c r="C12" s="195"/>
      <c r="D12" s="193"/>
      <c r="E12" s="195"/>
      <c r="F12" s="195"/>
      <c r="G12" s="193"/>
      <c r="H12" s="195"/>
      <c r="I12" s="195"/>
      <c r="J12" s="193"/>
      <c r="K12" s="195"/>
      <c r="L12" s="195"/>
      <c r="M12" s="193"/>
      <c r="N12" s="195"/>
      <c r="O12" s="195"/>
      <c r="R12" s="23">
        <v>8</v>
      </c>
      <c r="S12" s="196" t="s">
        <v>282</v>
      </c>
      <c r="T12" s="196"/>
      <c r="U12" s="196"/>
      <c r="V12" s="196">
        <v>2.0000000000000001E-4</v>
      </c>
      <c r="W12" s="196"/>
      <c r="X12" s="196">
        <v>35</v>
      </c>
      <c r="Y12" s="196"/>
      <c r="Z12" s="198">
        <f>V12*744000*AL2</f>
        <v>148.80000000000001</v>
      </c>
      <c r="AA12" s="198"/>
      <c r="AB12" s="198"/>
      <c r="AC12" s="198">
        <f t="shared" si="0"/>
        <v>4464</v>
      </c>
      <c r="AD12" s="198"/>
      <c r="AE12" s="198"/>
      <c r="AF12" s="198">
        <f t="shared" si="1"/>
        <v>156240</v>
      </c>
      <c r="AG12" s="198"/>
      <c r="AH12" s="198">
        <f t="shared" si="2"/>
        <v>1874880</v>
      </c>
      <c r="AI12" s="198"/>
    </row>
    <row r="13" spans="2:38" x14ac:dyDescent="0.25">
      <c r="N13" s="193"/>
      <c r="O13" s="193"/>
      <c r="R13" s="23">
        <v>9</v>
      </c>
      <c r="S13" s="196" t="s">
        <v>283</v>
      </c>
      <c r="T13" s="196"/>
      <c r="U13" s="196"/>
      <c r="V13" s="196">
        <v>3.9199999999999997E-5</v>
      </c>
      <c r="W13" s="196"/>
      <c r="X13" s="196">
        <v>170</v>
      </c>
      <c r="Y13" s="196"/>
      <c r="Z13" s="198">
        <f>V13*744000*AL2</f>
        <v>29.1648</v>
      </c>
      <c r="AA13" s="198"/>
      <c r="AB13" s="198"/>
      <c r="AC13" s="198">
        <f t="shared" si="0"/>
        <v>874.94399999999996</v>
      </c>
      <c r="AD13" s="198"/>
      <c r="AE13" s="198"/>
      <c r="AF13" s="198">
        <f t="shared" si="1"/>
        <v>148740.47999999998</v>
      </c>
      <c r="AG13" s="198"/>
      <c r="AH13" s="198">
        <f t="shared" si="2"/>
        <v>1784885.7599999998</v>
      </c>
      <c r="AI13" s="198"/>
    </row>
    <row r="14" spans="2:38" ht="47.25" customHeight="1" x14ac:dyDescent="0.25">
      <c r="N14" s="193"/>
      <c r="O14" s="193"/>
      <c r="R14" s="23">
        <v>10</v>
      </c>
      <c r="S14" s="196" t="s">
        <v>284</v>
      </c>
      <c r="T14" s="196"/>
      <c r="U14" s="196"/>
      <c r="V14" s="196">
        <v>6.1E-6</v>
      </c>
      <c r="W14" s="196"/>
      <c r="X14" s="196">
        <v>550</v>
      </c>
      <c r="Y14" s="196"/>
      <c r="Z14" s="198">
        <f>V14*744000*AL2</f>
        <v>4.5384000000000002</v>
      </c>
      <c r="AA14" s="198"/>
      <c r="AB14" s="198"/>
      <c r="AC14" s="198">
        <f t="shared" si="0"/>
        <v>136.15200000000002</v>
      </c>
      <c r="AD14" s="198"/>
      <c r="AE14" s="198"/>
      <c r="AF14" s="198">
        <f t="shared" si="1"/>
        <v>74883.600000000006</v>
      </c>
      <c r="AG14" s="198"/>
      <c r="AH14" s="198">
        <f t="shared" si="2"/>
        <v>898603.20000000007</v>
      </c>
      <c r="AI14" s="198"/>
    </row>
    <row r="15" spans="2:38" ht="33" customHeight="1" x14ac:dyDescent="0.25">
      <c r="B15" s="195" t="s">
        <v>200</v>
      </c>
      <c r="C15" s="195"/>
      <c r="D15" s="193"/>
      <c r="E15" s="195" t="s">
        <v>200</v>
      </c>
      <c r="F15" s="195"/>
      <c r="G15" s="193"/>
      <c r="H15" s="195" t="s">
        <v>199</v>
      </c>
      <c r="I15" s="195"/>
      <c r="J15" s="193"/>
      <c r="K15" s="195" t="s">
        <v>195</v>
      </c>
      <c r="L15" s="195"/>
      <c r="M15" s="193"/>
      <c r="N15" s="195" t="s">
        <v>198</v>
      </c>
      <c r="O15" s="195"/>
      <c r="R15" s="23">
        <v>11</v>
      </c>
      <c r="S15" s="196" t="s">
        <v>285</v>
      </c>
      <c r="T15" s="196"/>
      <c r="U15" s="196"/>
      <c r="V15" s="196">
        <v>7.3499999999999998E-5</v>
      </c>
      <c r="W15" s="196"/>
      <c r="X15" s="196">
        <v>400</v>
      </c>
      <c r="Y15" s="196"/>
      <c r="Z15" s="198">
        <f>V15*744000*AL2</f>
        <v>54.683999999999997</v>
      </c>
      <c r="AA15" s="198"/>
      <c r="AB15" s="198"/>
      <c r="AC15" s="198">
        <f t="shared" si="0"/>
        <v>1640.52</v>
      </c>
      <c r="AD15" s="198"/>
      <c r="AE15" s="198"/>
      <c r="AF15" s="198">
        <f t="shared" si="1"/>
        <v>656208</v>
      </c>
      <c r="AG15" s="198"/>
      <c r="AH15" s="198">
        <f t="shared" si="2"/>
        <v>7874496</v>
      </c>
      <c r="AI15" s="198"/>
    </row>
    <row r="16" spans="2:38" ht="45" customHeight="1" x14ac:dyDescent="0.25">
      <c r="B16" s="195"/>
      <c r="C16" s="195"/>
      <c r="D16" s="193"/>
      <c r="E16" s="195"/>
      <c r="F16" s="195"/>
      <c r="G16" s="193"/>
      <c r="H16" s="195"/>
      <c r="I16" s="195"/>
      <c r="J16" s="193"/>
      <c r="K16" s="195"/>
      <c r="L16" s="195"/>
      <c r="M16" s="193"/>
      <c r="N16" s="195"/>
      <c r="O16" s="195"/>
      <c r="R16" s="23">
        <v>12</v>
      </c>
      <c r="S16" s="196" t="s">
        <v>286</v>
      </c>
      <c r="T16" s="196"/>
      <c r="U16" s="196"/>
      <c r="V16" s="196">
        <v>7.3499999999999998E-5</v>
      </c>
      <c r="W16" s="196"/>
      <c r="X16" s="196">
        <v>400</v>
      </c>
      <c r="Y16" s="196"/>
      <c r="Z16" s="198">
        <f>V16*744000*AL2</f>
        <v>54.683999999999997</v>
      </c>
      <c r="AA16" s="198"/>
      <c r="AB16" s="198"/>
      <c r="AC16" s="198">
        <f t="shared" si="0"/>
        <v>1640.52</v>
      </c>
      <c r="AD16" s="198"/>
      <c r="AE16" s="198"/>
      <c r="AF16" s="198">
        <f t="shared" si="1"/>
        <v>656208</v>
      </c>
      <c r="AG16" s="198"/>
      <c r="AH16" s="198">
        <f t="shared" si="2"/>
        <v>7874496</v>
      </c>
      <c r="AI16" s="198"/>
    </row>
    <row r="17" spans="2:35" x14ac:dyDescent="0.25">
      <c r="B17" s="193"/>
      <c r="C17" s="193"/>
      <c r="R17" s="23">
        <v>13</v>
      </c>
      <c r="S17" s="196" t="s">
        <v>287</v>
      </c>
      <c r="T17" s="196"/>
      <c r="U17" s="196"/>
      <c r="V17" s="196">
        <v>7.3499999999999999E-6</v>
      </c>
      <c r="W17" s="196"/>
      <c r="X17" s="196">
        <v>700</v>
      </c>
      <c r="Y17" s="196"/>
      <c r="Z17" s="198">
        <f>V17*744000*AL2</f>
        <v>5.4683999999999999</v>
      </c>
      <c r="AA17" s="198"/>
      <c r="AB17" s="198"/>
      <c r="AC17" s="198">
        <f t="shared" si="0"/>
        <v>164.05199999999999</v>
      </c>
      <c r="AD17" s="198"/>
      <c r="AE17" s="198"/>
      <c r="AF17" s="198">
        <f t="shared" si="1"/>
        <v>114836.4</v>
      </c>
      <c r="AG17" s="198"/>
      <c r="AH17" s="198">
        <f t="shared" si="2"/>
        <v>1378036.7999999998</v>
      </c>
      <c r="AI17" s="198"/>
    </row>
    <row r="18" spans="2:35" ht="30.75" customHeight="1" x14ac:dyDescent="0.25">
      <c r="B18" s="193"/>
      <c r="C18" s="193"/>
      <c r="R18" s="23">
        <v>14</v>
      </c>
      <c r="S18" s="196" t="s">
        <v>268</v>
      </c>
      <c r="T18" s="196"/>
      <c r="U18" s="196"/>
      <c r="V18" s="196">
        <v>7000</v>
      </c>
      <c r="W18" s="196"/>
      <c r="X18" s="196">
        <v>150</v>
      </c>
      <c r="Y18" s="196"/>
      <c r="Z18" s="198">
        <f>7000*AL2</f>
        <v>7000</v>
      </c>
      <c r="AA18" s="198"/>
      <c r="AB18" s="198"/>
      <c r="AC18" s="198">
        <f t="shared" si="0"/>
        <v>210000</v>
      </c>
      <c r="AD18" s="198"/>
      <c r="AE18" s="198"/>
      <c r="AF18" s="198">
        <f t="shared" si="1"/>
        <v>31500000</v>
      </c>
      <c r="AG18" s="198"/>
      <c r="AH18" s="198">
        <f t="shared" si="2"/>
        <v>378000000</v>
      </c>
      <c r="AI18" s="198"/>
    </row>
    <row r="19" spans="2:35" x14ac:dyDescent="0.25">
      <c r="B19" s="195" t="s">
        <v>200</v>
      </c>
      <c r="C19" s="195"/>
      <c r="D19" s="193"/>
      <c r="E19" s="195" t="s">
        <v>195</v>
      </c>
      <c r="F19" s="195"/>
      <c r="G19" s="193"/>
      <c r="H19" s="195" t="s">
        <v>201</v>
      </c>
      <c r="I19" s="195"/>
      <c r="J19" s="193"/>
      <c r="K19" s="195" t="s">
        <v>195</v>
      </c>
      <c r="L19" s="195"/>
      <c r="M19" s="193"/>
      <c r="N19" s="195" t="s">
        <v>210</v>
      </c>
      <c r="O19" s="195"/>
      <c r="R19" s="23">
        <v>15</v>
      </c>
      <c r="S19" s="196" t="s">
        <v>267</v>
      </c>
      <c r="T19" s="196"/>
      <c r="U19" s="196"/>
      <c r="V19" s="196">
        <v>167</v>
      </c>
      <c r="W19" s="196"/>
      <c r="X19" s="196">
        <v>5.8</v>
      </c>
      <c r="Y19" s="196"/>
      <c r="Z19" s="198">
        <f>(V19*24)*AL2</f>
        <v>4008</v>
      </c>
      <c r="AA19" s="198"/>
      <c r="AB19" s="198"/>
      <c r="AC19" s="198">
        <f t="shared" si="0"/>
        <v>120240</v>
      </c>
      <c r="AD19" s="198"/>
      <c r="AE19" s="198"/>
      <c r="AF19" s="198">
        <f t="shared" si="1"/>
        <v>697392</v>
      </c>
      <c r="AG19" s="198"/>
      <c r="AH19" s="198">
        <f t="shared" si="2"/>
        <v>8368704</v>
      </c>
      <c r="AI19" s="198"/>
    </row>
    <row r="20" spans="2:35" ht="30" customHeight="1" x14ac:dyDescent="0.25">
      <c r="B20" s="195"/>
      <c r="C20" s="195"/>
      <c r="D20" s="193"/>
      <c r="E20" s="195"/>
      <c r="F20" s="195"/>
      <c r="G20" s="193"/>
      <c r="H20" s="195"/>
      <c r="I20" s="195"/>
      <c r="J20" s="193"/>
      <c r="K20" s="195"/>
      <c r="L20" s="195"/>
      <c r="M20" s="193"/>
      <c r="N20" s="195"/>
      <c r="O20" s="195"/>
      <c r="R20" s="23">
        <v>16</v>
      </c>
      <c r="S20" s="196" t="s">
        <v>265</v>
      </c>
      <c r="T20" s="196"/>
      <c r="U20" s="196"/>
      <c r="V20" s="196">
        <v>140</v>
      </c>
      <c r="W20" s="196"/>
      <c r="X20" s="196">
        <v>7.5</v>
      </c>
      <c r="Y20" s="196"/>
      <c r="Z20" s="198">
        <f>(V20*24)*AL2</f>
        <v>3360</v>
      </c>
      <c r="AA20" s="198"/>
      <c r="AB20" s="198"/>
      <c r="AC20" s="198">
        <f t="shared" si="0"/>
        <v>100800</v>
      </c>
      <c r="AD20" s="198"/>
      <c r="AE20" s="198"/>
      <c r="AF20" s="198">
        <f t="shared" si="1"/>
        <v>756000</v>
      </c>
      <c r="AG20" s="198"/>
      <c r="AH20" s="198">
        <f t="shared" si="2"/>
        <v>9072000</v>
      </c>
      <c r="AI20" s="198"/>
    </row>
    <row r="21" spans="2:35" x14ac:dyDescent="0.25">
      <c r="N21" s="205"/>
      <c r="O21" s="206"/>
      <c r="R21" s="23">
        <v>17</v>
      </c>
      <c r="S21" s="196" t="s">
        <v>266</v>
      </c>
      <c r="T21" s="196"/>
      <c r="U21" s="196"/>
      <c r="V21" s="196">
        <v>6</v>
      </c>
      <c r="W21" s="196"/>
      <c r="X21" s="196">
        <v>86</v>
      </c>
      <c r="Y21" s="196"/>
      <c r="Z21" s="198">
        <f>(V21*24)*AL2</f>
        <v>144</v>
      </c>
      <c r="AA21" s="198"/>
      <c r="AB21" s="198"/>
      <c r="AC21" s="198">
        <f t="shared" si="0"/>
        <v>4320</v>
      </c>
      <c r="AD21" s="198"/>
      <c r="AE21" s="198"/>
      <c r="AF21" s="198">
        <f t="shared" si="1"/>
        <v>371520</v>
      </c>
      <c r="AG21" s="198"/>
      <c r="AH21" s="198">
        <f t="shared" si="2"/>
        <v>4458240</v>
      </c>
      <c r="AI21" s="198"/>
    </row>
    <row r="22" spans="2:35" ht="15" customHeight="1" x14ac:dyDescent="0.25">
      <c r="N22" s="207"/>
      <c r="O22" s="208"/>
      <c r="R22" s="211" t="s">
        <v>291</v>
      </c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2">
        <f>SUM(AF5:AG21)</f>
        <v>37666040.399999999</v>
      </c>
      <c r="AG22" s="212"/>
      <c r="AH22" s="212">
        <f t="shared" si="2"/>
        <v>451992484.79999995</v>
      </c>
      <c r="AI22" s="212"/>
    </row>
    <row r="23" spans="2:35" x14ac:dyDescent="0.25">
      <c r="N23" s="209"/>
      <c r="O23" s="210"/>
    </row>
    <row r="24" spans="2:35" x14ac:dyDescent="0.25">
      <c r="B24" s="195" t="s">
        <v>204</v>
      </c>
      <c r="C24" s="195"/>
      <c r="D24" s="193"/>
      <c r="E24" s="195" t="s">
        <v>203</v>
      </c>
      <c r="F24" s="195"/>
      <c r="G24" s="193"/>
      <c r="H24" s="195" t="s">
        <v>203</v>
      </c>
      <c r="I24" s="195"/>
      <c r="J24" s="193"/>
      <c r="K24" s="195" t="s">
        <v>203</v>
      </c>
      <c r="L24" s="195"/>
      <c r="M24" s="193"/>
      <c r="N24" s="195" t="s">
        <v>202</v>
      </c>
      <c r="O24" s="195"/>
      <c r="R24" s="197" t="s">
        <v>289</v>
      </c>
      <c r="S24" s="197"/>
      <c r="T24" s="197"/>
      <c r="U24" s="197"/>
      <c r="V24" s="204">
        <f>AF22/F49</f>
        <v>0.84377330645161286</v>
      </c>
      <c r="W24" s="204"/>
      <c r="X24" s="199" t="s">
        <v>303</v>
      </c>
      <c r="Y24" s="199"/>
      <c r="Z24" s="204">
        <f>V24*2</f>
        <v>1.6875466129032257</v>
      </c>
      <c r="AA24" s="197"/>
      <c r="AB24" s="199" t="s">
        <v>304</v>
      </c>
      <c r="AC24" s="199"/>
      <c r="AD24" s="204">
        <f>Z24*50</f>
        <v>84.37733064516128</v>
      </c>
      <c r="AE24" s="197"/>
      <c r="AF24" s="199" t="s">
        <v>305</v>
      </c>
      <c r="AG24" s="199"/>
      <c r="AH24" s="204">
        <f>AD24*10</f>
        <v>843.77330645161283</v>
      </c>
      <c r="AI24" s="197"/>
    </row>
    <row r="25" spans="2:35" x14ac:dyDescent="0.25">
      <c r="B25" s="195"/>
      <c r="C25" s="195"/>
      <c r="D25" s="193"/>
      <c r="E25" s="195"/>
      <c r="F25" s="195"/>
      <c r="G25" s="193"/>
      <c r="H25" s="195"/>
      <c r="I25" s="195"/>
      <c r="J25" s="193"/>
      <c r="K25" s="195"/>
      <c r="L25" s="195"/>
      <c r="M25" s="193"/>
      <c r="N25" s="195"/>
      <c r="O25" s="195"/>
      <c r="R25" s="197"/>
      <c r="S25" s="197"/>
      <c r="T25" s="197"/>
      <c r="U25" s="197"/>
      <c r="V25" s="204"/>
      <c r="W25" s="204"/>
      <c r="X25" s="199"/>
      <c r="Y25" s="199"/>
      <c r="Z25" s="197"/>
      <c r="AA25" s="197"/>
      <c r="AB25" s="199"/>
      <c r="AC25" s="199"/>
      <c r="AD25" s="197"/>
      <c r="AE25" s="197"/>
      <c r="AF25" s="199"/>
      <c r="AG25" s="199"/>
      <c r="AH25" s="197"/>
      <c r="AI25" s="197"/>
    </row>
    <row r="26" spans="2:35" x14ac:dyDescent="0.25">
      <c r="B26" s="205"/>
      <c r="C26" s="206"/>
    </row>
    <row r="27" spans="2:35" ht="19.5" customHeight="1" x14ac:dyDescent="0.25">
      <c r="B27" s="207"/>
      <c r="C27" s="208"/>
      <c r="R27" s="199" t="s">
        <v>307</v>
      </c>
      <c r="S27" s="199"/>
      <c r="T27" s="199"/>
      <c r="U27" s="199"/>
      <c r="V27" s="204">
        <f>V24/100*500</f>
        <v>4.2188665322580636</v>
      </c>
      <c r="W27" s="197"/>
      <c r="X27" s="213" t="s">
        <v>308</v>
      </c>
      <c r="Y27" s="214"/>
      <c r="Z27" s="204">
        <f>Z24/100*500</f>
        <v>8.4377330645161273</v>
      </c>
      <c r="AA27" s="204"/>
      <c r="AB27" s="199" t="s">
        <v>309</v>
      </c>
      <c r="AC27" s="199"/>
      <c r="AD27" s="204">
        <f>AD24/100*500</f>
        <v>421.88665322580636</v>
      </c>
      <c r="AE27" s="197"/>
      <c r="AF27" s="199" t="s">
        <v>310</v>
      </c>
      <c r="AG27" s="199"/>
      <c r="AH27" s="204">
        <f>AH24/100*500</f>
        <v>4218.8665322580646</v>
      </c>
      <c r="AI27" s="197"/>
    </row>
    <row r="28" spans="2:35" ht="19.5" customHeight="1" x14ac:dyDescent="0.25">
      <c r="B28" s="209"/>
      <c r="C28" s="210"/>
    </row>
    <row r="29" spans="2:35" x14ac:dyDescent="0.25">
      <c r="B29" s="195" t="s">
        <v>195</v>
      </c>
      <c r="C29" s="195"/>
      <c r="D29" s="193"/>
      <c r="E29" s="195" t="s">
        <v>205</v>
      </c>
      <c r="F29" s="195"/>
      <c r="G29" s="193"/>
      <c r="H29" s="195" t="s">
        <v>206</v>
      </c>
      <c r="I29" s="195"/>
      <c r="J29" s="193"/>
      <c r="K29" s="195" t="s">
        <v>207</v>
      </c>
      <c r="L29" s="195"/>
      <c r="M29" s="193"/>
      <c r="N29" s="195" t="s">
        <v>208</v>
      </c>
      <c r="O29" s="195"/>
      <c r="R29" s="197" t="s">
        <v>306</v>
      </c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</row>
    <row r="30" spans="2:35" x14ac:dyDescent="0.25">
      <c r="B30" s="195"/>
      <c r="C30" s="195"/>
      <c r="D30" s="193"/>
      <c r="E30" s="195"/>
      <c r="F30" s="195"/>
      <c r="G30" s="193"/>
      <c r="H30" s="195"/>
      <c r="I30" s="195"/>
      <c r="J30" s="193"/>
      <c r="K30" s="195"/>
      <c r="L30" s="195"/>
      <c r="M30" s="193"/>
      <c r="N30" s="195"/>
      <c r="O30" s="195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</row>
    <row r="31" spans="2:35" x14ac:dyDescent="0.25">
      <c r="R31" s="23" t="s">
        <v>258</v>
      </c>
      <c r="S31" s="196" t="s">
        <v>272</v>
      </c>
      <c r="T31" s="196"/>
      <c r="U31" s="196"/>
      <c r="V31" s="196" t="s">
        <v>269</v>
      </c>
      <c r="W31" s="196"/>
      <c r="X31" s="196" t="s">
        <v>264</v>
      </c>
      <c r="Y31" s="196"/>
      <c r="Z31" s="196" t="s">
        <v>273</v>
      </c>
      <c r="AA31" s="196"/>
      <c r="AB31" s="196"/>
      <c r="AC31" s="196" t="s">
        <v>274</v>
      </c>
      <c r="AD31" s="196"/>
      <c r="AE31" s="196"/>
      <c r="AF31" s="196" t="s">
        <v>270</v>
      </c>
      <c r="AG31" s="196"/>
      <c r="AH31" s="196" t="s">
        <v>271</v>
      </c>
      <c r="AI31" s="196"/>
    </row>
    <row r="32" spans="2:35" x14ac:dyDescent="0.25">
      <c r="R32" s="23">
        <v>1</v>
      </c>
      <c r="S32" s="196" t="s">
        <v>275</v>
      </c>
      <c r="T32" s="196"/>
      <c r="U32" s="196"/>
      <c r="V32" s="196">
        <v>1E-4</v>
      </c>
      <c r="W32" s="196"/>
      <c r="X32" s="196">
        <v>300</v>
      </c>
      <c r="Y32" s="196"/>
      <c r="Z32" s="198">
        <f>V32*960000*AL34</f>
        <v>192</v>
      </c>
      <c r="AA32" s="198"/>
      <c r="AB32" s="198"/>
      <c r="AC32" s="198">
        <f t="shared" ref="AC32:AC48" si="3">Z32*30</f>
        <v>5760</v>
      </c>
      <c r="AD32" s="198"/>
      <c r="AE32" s="198"/>
      <c r="AF32" s="198">
        <f t="shared" ref="AF32:AF48" si="4">AC32*X32</f>
        <v>1728000</v>
      </c>
      <c r="AG32" s="198"/>
      <c r="AH32" s="198">
        <f t="shared" ref="AH32:AH50" si="5">AF32*12</f>
        <v>20736000</v>
      </c>
      <c r="AI32" s="198"/>
    </row>
    <row r="33" spans="2:38" x14ac:dyDescent="0.25">
      <c r="B33" s="199" t="s">
        <v>298</v>
      </c>
      <c r="C33" s="199"/>
      <c r="D33" s="199"/>
      <c r="E33" s="199"/>
      <c r="F33" s="199"/>
      <c r="G33" s="199"/>
      <c r="H33" s="199"/>
      <c r="R33" s="23">
        <v>2</v>
      </c>
      <c r="S33" s="196" t="s">
        <v>276</v>
      </c>
      <c r="T33" s="196"/>
      <c r="U33" s="196"/>
      <c r="V33" s="196">
        <v>5.3000000000000001E-5</v>
      </c>
      <c r="W33" s="196"/>
      <c r="X33" s="196">
        <v>429</v>
      </c>
      <c r="Y33" s="196"/>
      <c r="Z33" s="198">
        <f>V33*960000*AL34</f>
        <v>101.76</v>
      </c>
      <c r="AA33" s="198"/>
      <c r="AB33" s="198"/>
      <c r="AC33" s="198">
        <f t="shared" si="3"/>
        <v>3052.8</v>
      </c>
      <c r="AD33" s="198"/>
      <c r="AE33" s="198"/>
      <c r="AF33" s="198">
        <f t="shared" si="4"/>
        <v>1309651.2000000002</v>
      </c>
      <c r="AG33" s="198"/>
      <c r="AH33" s="198">
        <f t="shared" si="5"/>
        <v>15715814.400000002</v>
      </c>
      <c r="AI33" s="198"/>
    </row>
    <row r="34" spans="2:38" x14ac:dyDescent="0.25">
      <c r="B34" s="215"/>
      <c r="C34" s="216"/>
      <c r="D34" s="22" t="s">
        <v>211</v>
      </c>
      <c r="E34" s="39" t="s">
        <v>218</v>
      </c>
      <c r="F34" s="39" t="s">
        <v>256</v>
      </c>
      <c r="G34" s="22" t="s">
        <v>220</v>
      </c>
      <c r="H34" s="22" t="s">
        <v>255</v>
      </c>
      <c r="I34" s="35"/>
      <c r="J34" s="35"/>
      <c r="K34" s="35"/>
      <c r="L34" s="35"/>
      <c r="M34" s="35"/>
      <c r="N34" s="35"/>
      <c r="R34" s="23">
        <v>3</v>
      </c>
      <c r="S34" s="196" t="s">
        <v>277</v>
      </c>
      <c r="T34" s="196"/>
      <c r="U34" s="196"/>
      <c r="V34" s="196">
        <v>1E-4</v>
      </c>
      <c r="W34" s="196"/>
      <c r="X34" s="196">
        <v>80</v>
      </c>
      <c r="Y34" s="196"/>
      <c r="Z34" s="198">
        <f>V34*960000*AL34</f>
        <v>192</v>
      </c>
      <c r="AA34" s="198"/>
      <c r="AB34" s="198"/>
      <c r="AC34" s="198">
        <f t="shared" si="3"/>
        <v>5760</v>
      </c>
      <c r="AD34" s="198"/>
      <c r="AE34" s="198"/>
      <c r="AF34" s="198">
        <f t="shared" si="4"/>
        <v>460800</v>
      </c>
      <c r="AG34" s="198"/>
      <c r="AH34" s="198">
        <f t="shared" si="5"/>
        <v>5529600</v>
      </c>
      <c r="AI34" s="198"/>
      <c r="AJ34" s="200" t="s">
        <v>288</v>
      </c>
      <c r="AK34" s="200"/>
      <c r="AL34" s="201">
        <v>2</v>
      </c>
    </row>
    <row r="35" spans="2:38" x14ac:dyDescent="0.25">
      <c r="B35" s="193" t="s">
        <v>214</v>
      </c>
      <c r="C35" s="193"/>
      <c r="D35" s="23">
        <v>180</v>
      </c>
      <c r="E35" s="39">
        <v>140</v>
      </c>
      <c r="F35" s="39">
        <v>180</v>
      </c>
      <c r="G35" s="23">
        <v>110</v>
      </c>
      <c r="H35" s="23">
        <v>120</v>
      </c>
      <c r="I35" s="35"/>
      <c r="J35" s="35"/>
      <c r="K35" s="35"/>
      <c r="L35" s="35"/>
      <c r="M35" s="35"/>
      <c r="N35" s="35"/>
      <c r="R35" s="23">
        <v>4</v>
      </c>
      <c r="S35" s="196" t="s">
        <v>278</v>
      </c>
      <c r="T35" s="196"/>
      <c r="U35" s="196"/>
      <c r="V35" s="196">
        <v>2.94E-5</v>
      </c>
      <c r="W35" s="196"/>
      <c r="X35" s="196">
        <v>450</v>
      </c>
      <c r="Y35" s="196"/>
      <c r="Z35" s="198">
        <f>V35*960000*AL34</f>
        <v>56.448</v>
      </c>
      <c r="AA35" s="198"/>
      <c r="AB35" s="198"/>
      <c r="AC35" s="198">
        <f t="shared" si="3"/>
        <v>1693.44</v>
      </c>
      <c r="AD35" s="198"/>
      <c r="AE35" s="198"/>
      <c r="AF35" s="198">
        <f t="shared" si="4"/>
        <v>762048</v>
      </c>
      <c r="AG35" s="198"/>
      <c r="AH35" s="198">
        <f t="shared" si="5"/>
        <v>9144576</v>
      </c>
      <c r="AI35" s="198"/>
      <c r="AJ35" s="200"/>
      <c r="AK35" s="200"/>
      <c r="AL35" s="201"/>
    </row>
    <row r="36" spans="2:38" ht="42" customHeight="1" x14ac:dyDescent="0.25">
      <c r="B36" s="193" t="s">
        <v>215</v>
      </c>
      <c r="C36" s="193"/>
      <c r="D36" s="23">
        <v>1.8</v>
      </c>
      <c r="E36" s="39">
        <v>1.8</v>
      </c>
      <c r="F36" s="39">
        <v>1.8</v>
      </c>
      <c r="G36" s="23">
        <v>1.8</v>
      </c>
      <c r="H36" s="23">
        <v>1.8</v>
      </c>
      <c r="I36" s="35"/>
      <c r="J36" s="35"/>
      <c r="K36" s="35"/>
      <c r="L36" s="35"/>
      <c r="M36" s="35"/>
      <c r="N36" s="35"/>
      <c r="R36" s="23">
        <v>5</v>
      </c>
      <c r="S36" s="196" t="s">
        <v>279</v>
      </c>
      <c r="T36" s="196"/>
      <c r="U36" s="196"/>
      <c r="V36" s="196">
        <v>2.94E-5</v>
      </c>
      <c r="W36" s="196"/>
      <c r="X36" s="196">
        <v>360</v>
      </c>
      <c r="Y36" s="196"/>
      <c r="Z36" s="198">
        <f>V36*960000*AL34</f>
        <v>56.448</v>
      </c>
      <c r="AA36" s="198"/>
      <c r="AB36" s="198"/>
      <c r="AC36" s="198">
        <f t="shared" si="3"/>
        <v>1693.44</v>
      </c>
      <c r="AD36" s="198"/>
      <c r="AE36" s="198"/>
      <c r="AF36" s="198">
        <f t="shared" si="4"/>
        <v>609638.40000000002</v>
      </c>
      <c r="AG36" s="198"/>
      <c r="AH36" s="198">
        <f t="shared" si="5"/>
        <v>7315660.8000000007</v>
      </c>
      <c r="AI36" s="198"/>
    </row>
    <row r="37" spans="2:38" ht="39.75" customHeight="1" x14ac:dyDescent="0.25">
      <c r="B37" s="193" t="s">
        <v>216</v>
      </c>
      <c r="C37" s="193"/>
      <c r="D37" s="23">
        <v>8</v>
      </c>
      <c r="E37" s="39">
        <v>12</v>
      </c>
      <c r="F37" s="39">
        <v>12</v>
      </c>
      <c r="G37" s="23">
        <v>12</v>
      </c>
      <c r="H37" s="23">
        <v>9</v>
      </c>
      <c r="I37" s="35"/>
      <c r="J37" s="35"/>
      <c r="K37" s="35"/>
      <c r="L37" s="35"/>
      <c r="M37" s="35"/>
      <c r="N37" s="35"/>
      <c r="R37" s="23">
        <v>6</v>
      </c>
      <c r="S37" s="196" t="s">
        <v>280</v>
      </c>
      <c r="T37" s="196"/>
      <c r="U37" s="196"/>
      <c r="V37" s="196">
        <v>6.1E-6</v>
      </c>
      <c r="W37" s="196"/>
      <c r="X37" s="196">
        <v>1000</v>
      </c>
      <c r="Y37" s="196"/>
      <c r="Z37" s="198">
        <f>V37*960000*AL34</f>
        <v>11.712</v>
      </c>
      <c r="AA37" s="198"/>
      <c r="AB37" s="198"/>
      <c r="AC37" s="198">
        <f t="shared" si="3"/>
        <v>351.36</v>
      </c>
      <c r="AD37" s="198"/>
      <c r="AE37" s="198"/>
      <c r="AF37" s="198">
        <f t="shared" si="4"/>
        <v>351360</v>
      </c>
      <c r="AG37" s="198"/>
      <c r="AH37" s="198">
        <f t="shared" si="5"/>
        <v>4216320</v>
      </c>
      <c r="AI37" s="198"/>
    </row>
    <row r="38" spans="2:38" ht="30.75" customHeight="1" x14ac:dyDescent="0.25">
      <c r="B38" s="193" t="s">
        <v>212</v>
      </c>
      <c r="C38" s="193"/>
      <c r="D38" s="23">
        <v>20000</v>
      </c>
      <c r="E38" s="39">
        <f>31000</f>
        <v>31000</v>
      </c>
      <c r="F38" s="39">
        <v>40000</v>
      </c>
      <c r="G38" s="23">
        <v>30000</v>
      </c>
      <c r="H38" s="23">
        <v>20000</v>
      </c>
      <c r="I38" s="35"/>
      <c r="J38" s="35"/>
      <c r="K38" s="35"/>
      <c r="L38" s="35"/>
      <c r="M38" s="35"/>
      <c r="N38" s="35"/>
      <c r="R38" s="23">
        <v>7</v>
      </c>
      <c r="S38" s="196" t="s">
        <v>281</v>
      </c>
      <c r="T38" s="196"/>
      <c r="U38" s="196"/>
      <c r="V38" s="196">
        <v>4.1599999999999997E-4</v>
      </c>
      <c r="W38" s="196"/>
      <c r="X38" s="196">
        <v>55</v>
      </c>
      <c r="Y38" s="196"/>
      <c r="Z38" s="198">
        <f>V38*960000*AL34</f>
        <v>798.71999999999991</v>
      </c>
      <c r="AA38" s="198"/>
      <c r="AB38" s="198"/>
      <c r="AC38" s="198">
        <f t="shared" si="3"/>
        <v>23961.599999999999</v>
      </c>
      <c r="AD38" s="198"/>
      <c r="AE38" s="198"/>
      <c r="AF38" s="198">
        <f t="shared" si="4"/>
        <v>1317888</v>
      </c>
      <c r="AG38" s="198"/>
      <c r="AH38" s="198">
        <f t="shared" si="5"/>
        <v>15814656</v>
      </c>
      <c r="AI38" s="198"/>
    </row>
    <row r="39" spans="2:38" ht="30" customHeight="1" x14ac:dyDescent="0.25">
      <c r="B39" s="193" t="s">
        <v>213</v>
      </c>
      <c r="C39" s="193"/>
      <c r="D39" s="23">
        <v>220</v>
      </c>
      <c r="E39" s="39">
        <v>167</v>
      </c>
      <c r="F39" s="39">
        <v>250</v>
      </c>
      <c r="G39" s="23">
        <v>220</v>
      </c>
      <c r="H39" s="23">
        <v>230</v>
      </c>
      <c r="I39" s="35"/>
      <c r="J39" s="35"/>
      <c r="K39" s="35"/>
      <c r="L39" s="35"/>
      <c r="M39" s="35"/>
      <c r="N39" s="35"/>
      <c r="R39" s="23">
        <v>8</v>
      </c>
      <c r="S39" s="196" t="s">
        <v>282</v>
      </c>
      <c r="T39" s="196"/>
      <c r="U39" s="196"/>
      <c r="V39" s="196">
        <v>2.0000000000000001E-4</v>
      </c>
      <c r="W39" s="196"/>
      <c r="X39" s="196">
        <v>35</v>
      </c>
      <c r="Y39" s="196"/>
      <c r="Z39" s="198">
        <f>V39*960000*AL34</f>
        <v>384</v>
      </c>
      <c r="AA39" s="198"/>
      <c r="AB39" s="198"/>
      <c r="AC39" s="198">
        <f t="shared" si="3"/>
        <v>11520</v>
      </c>
      <c r="AD39" s="198"/>
      <c r="AE39" s="198"/>
      <c r="AF39" s="198">
        <f t="shared" si="4"/>
        <v>403200</v>
      </c>
      <c r="AG39" s="198"/>
      <c r="AH39" s="198">
        <f t="shared" si="5"/>
        <v>4838400</v>
      </c>
      <c r="AI39" s="198"/>
    </row>
    <row r="40" spans="2:38" x14ac:dyDescent="0.25">
      <c r="B40" s="193" t="s">
        <v>217</v>
      </c>
      <c r="C40" s="193"/>
      <c r="D40" s="23">
        <v>1600</v>
      </c>
      <c r="E40" s="39">
        <v>1200</v>
      </c>
      <c r="F40" s="39">
        <v>1600</v>
      </c>
      <c r="G40" s="23">
        <v>1100</v>
      </c>
      <c r="H40" s="23">
        <v>750</v>
      </c>
      <c r="I40" s="35"/>
      <c r="J40" s="35"/>
      <c r="K40" s="35"/>
      <c r="L40" s="35"/>
      <c r="M40" s="35"/>
      <c r="N40" s="35"/>
      <c r="R40" s="23">
        <v>9</v>
      </c>
      <c r="S40" s="196" t="s">
        <v>283</v>
      </c>
      <c r="T40" s="196"/>
      <c r="U40" s="196"/>
      <c r="V40" s="196">
        <v>3.9199999999999997E-5</v>
      </c>
      <c r="W40" s="196"/>
      <c r="X40" s="196">
        <v>170</v>
      </c>
      <c r="Y40" s="196"/>
      <c r="Z40" s="198">
        <f>V40*960000*AL34</f>
        <v>75.263999999999996</v>
      </c>
      <c r="AA40" s="198"/>
      <c r="AB40" s="198"/>
      <c r="AC40" s="198">
        <f t="shared" si="3"/>
        <v>2257.92</v>
      </c>
      <c r="AD40" s="198"/>
      <c r="AE40" s="198"/>
      <c r="AF40" s="198">
        <f t="shared" si="4"/>
        <v>383846.40000000002</v>
      </c>
      <c r="AG40" s="198"/>
      <c r="AH40" s="198">
        <f t="shared" si="5"/>
        <v>4606156.8000000007</v>
      </c>
      <c r="AI40" s="198"/>
    </row>
    <row r="41" spans="2:38" x14ac:dyDescent="0.25">
      <c r="B41" s="193" t="s">
        <v>219</v>
      </c>
      <c r="C41" s="193"/>
      <c r="D41" s="23">
        <v>16000</v>
      </c>
      <c r="E41" s="39">
        <v>24000</v>
      </c>
      <c r="F41" s="39">
        <v>32000</v>
      </c>
      <c r="G41" s="23">
        <v>22000</v>
      </c>
      <c r="H41" s="23">
        <v>15000</v>
      </c>
      <c r="I41" s="35"/>
      <c r="J41" s="35"/>
      <c r="K41" s="35"/>
      <c r="L41" s="35"/>
      <c r="M41" s="35"/>
      <c r="N41" s="35"/>
      <c r="R41" s="23">
        <v>10</v>
      </c>
      <c r="S41" s="196" t="s">
        <v>284</v>
      </c>
      <c r="T41" s="196"/>
      <c r="U41" s="196"/>
      <c r="V41" s="196">
        <v>6.1E-6</v>
      </c>
      <c r="W41" s="196"/>
      <c r="X41" s="196">
        <v>550</v>
      </c>
      <c r="Y41" s="196"/>
      <c r="Z41" s="198">
        <f>V41*960000*AL34</f>
        <v>11.712</v>
      </c>
      <c r="AA41" s="198"/>
      <c r="AB41" s="198"/>
      <c r="AC41" s="198">
        <f t="shared" si="3"/>
        <v>351.36</v>
      </c>
      <c r="AD41" s="198"/>
      <c r="AE41" s="198"/>
      <c r="AF41" s="198">
        <f t="shared" si="4"/>
        <v>193248</v>
      </c>
      <c r="AG41" s="198"/>
      <c r="AH41" s="198">
        <f t="shared" si="5"/>
        <v>2318976</v>
      </c>
      <c r="AI41" s="198"/>
    </row>
    <row r="42" spans="2:38" x14ac:dyDescent="0.25">
      <c r="I42" s="35"/>
      <c r="J42" s="35"/>
      <c r="K42" s="35"/>
      <c r="L42" s="35"/>
      <c r="M42" s="35"/>
      <c r="N42" s="35"/>
      <c r="R42" s="23">
        <v>11</v>
      </c>
      <c r="S42" s="196" t="s">
        <v>285</v>
      </c>
      <c r="T42" s="196"/>
      <c r="U42" s="196"/>
      <c r="V42" s="196">
        <v>7.3499999999999998E-5</v>
      </c>
      <c r="W42" s="196"/>
      <c r="X42" s="196">
        <v>400</v>
      </c>
      <c r="Y42" s="196"/>
      <c r="Z42" s="198">
        <f>V42*960000*AL34</f>
        <v>141.12</v>
      </c>
      <c r="AA42" s="198"/>
      <c r="AB42" s="198"/>
      <c r="AC42" s="198">
        <f t="shared" si="3"/>
        <v>4233.6000000000004</v>
      </c>
      <c r="AD42" s="198"/>
      <c r="AE42" s="198"/>
      <c r="AF42" s="198">
        <f t="shared" si="4"/>
        <v>1693440.0000000002</v>
      </c>
      <c r="AG42" s="198"/>
      <c r="AH42" s="198">
        <f t="shared" si="5"/>
        <v>20321280.000000004</v>
      </c>
      <c r="AI42" s="198"/>
    </row>
    <row r="43" spans="2:38" x14ac:dyDescent="0.25">
      <c r="I43" s="29"/>
      <c r="J43" s="29"/>
      <c r="K43" s="24"/>
      <c r="L43" s="24"/>
      <c r="M43" s="24"/>
      <c r="N43" s="24"/>
      <c r="R43" s="23">
        <v>12</v>
      </c>
      <c r="S43" s="196" t="s">
        <v>286</v>
      </c>
      <c r="T43" s="196"/>
      <c r="U43" s="196"/>
      <c r="V43" s="196">
        <v>7.3499999999999998E-5</v>
      </c>
      <c r="W43" s="196"/>
      <c r="X43" s="196">
        <v>400</v>
      </c>
      <c r="Y43" s="196"/>
      <c r="Z43" s="198">
        <f>V43*960000*AL34</f>
        <v>141.12</v>
      </c>
      <c r="AA43" s="198"/>
      <c r="AB43" s="198"/>
      <c r="AC43" s="198">
        <f t="shared" si="3"/>
        <v>4233.6000000000004</v>
      </c>
      <c r="AD43" s="198"/>
      <c r="AE43" s="198"/>
      <c r="AF43" s="198">
        <f t="shared" si="4"/>
        <v>1693440.0000000002</v>
      </c>
      <c r="AG43" s="198"/>
      <c r="AH43" s="198">
        <f t="shared" si="5"/>
        <v>20321280.000000004</v>
      </c>
      <c r="AI43" s="198"/>
    </row>
    <row r="44" spans="2:38" x14ac:dyDescent="0.25">
      <c r="I44" s="29"/>
      <c r="J44" s="29"/>
      <c r="K44" s="24"/>
      <c r="L44" s="24"/>
      <c r="M44" s="24"/>
      <c r="N44" s="24"/>
      <c r="R44" s="23">
        <v>13</v>
      </c>
      <c r="S44" s="196" t="s">
        <v>287</v>
      </c>
      <c r="T44" s="196"/>
      <c r="U44" s="196"/>
      <c r="V44" s="196">
        <v>7.3499999999999999E-6</v>
      </c>
      <c r="W44" s="196"/>
      <c r="X44" s="196">
        <v>700</v>
      </c>
      <c r="Y44" s="196"/>
      <c r="Z44" s="198">
        <f>V44*960000*AL34</f>
        <v>14.112</v>
      </c>
      <c r="AA44" s="198"/>
      <c r="AB44" s="198"/>
      <c r="AC44" s="198">
        <f t="shared" si="3"/>
        <v>423.36</v>
      </c>
      <c r="AD44" s="198"/>
      <c r="AE44" s="198"/>
      <c r="AF44" s="198">
        <f t="shared" si="4"/>
        <v>296352</v>
      </c>
      <c r="AG44" s="198"/>
      <c r="AH44" s="198">
        <f t="shared" si="5"/>
        <v>3556224</v>
      </c>
      <c r="AI44" s="198"/>
    </row>
    <row r="45" spans="2:38" x14ac:dyDescent="0.25">
      <c r="B45" s="166" t="s">
        <v>228</v>
      </c>
      <c r="C45" s="166"/>
      <c r="R45" s="23">
        <v>14</v>
      </c>
      <c r="S45" s="196" t="s">
        <v>268</v>
      </c>
      <c r="T45" s="196"/>
      <c r="U45" s="196"/>
      <c r="V45" s="196">
        <v>8200</v>
      </c>
      <c r="W45" s="196"/>
      <c r="X45" s="196">
        <v>150</v>
      </c>
      <c r="Y45" s="196"/>
      <c r="Z45" s="198">
        <f>8200*AL34</f>
        <v>16400</v>
      </c>
      <c r="AA45" s="198"/>
      <c r="AB45" s="198"/>
      <c r="AC45" s="198">
        <f t="shared" si="3"/>
        <v>492000</v>
      </c>
      <c r="AD45" s="198"/>
      <c r="AE45" s="198"/>
      <c r="AF45" s="198">
        <f t="shared" si="4"/>
        <v>73800000</v>
      </c>
      <c r="AG45" s="198"/>
      <c r="AH45" s="198">
        <f t="shared" si="5"/>
        <v>885600000</v>
      </c>
      <c r="AI45" s="198"/>
    </row>
    <row r="46" spans="2:38" x14ac:dyDescent="0.25">
      <c r="B46" s="167">
        <v>2</v>
      </c>
      <c r="C46" s="167"/>
      <c r="D46" s="116" t="s">
        <v>256</v>
      </c>
      <c r="E46" s="117"/>
      <c r="F46" s="172" t="s">
        <v>218</v>
      </c>
      <c r="G46" s="172"/>
      <c r="H46" s="35"/>
      <c r="I46" s="35"/>
      <c r="J46" s="35"/>
      <c r="K46" s="35"/>
      <c r="L46" s="35"/>
      <c r="M46" s="35"/>
      <c r="R46" s="23">
        <v>15</v>
      </c>
      <c r="S46" s="196" t="s">
        <v>267</v>
      </c>
      <c r="T46" s="196"/>
      <c r="U46" s="196"/>
      <c r="V46" s="196">
        <v>250</v>
      </c>
      <c r="W46" s="196"/>
      <c r="X46" s="196">
        <v>5.8</v>
      </c>
      <c r="Y46" s="196"/>
      <c r="Z46" s="198">
        <f>(V46*24)*AL34</f>
        <v>12000</v>
      </c>
      <c r="AA46" s="198"/>
      <c r="AB46" s="198"/>
      <c r="AC46" s="198">
        <f t="shared" si="3"/>
        <v>360000</v>
      </c>
      <c r="AD46" s="198"/>
      <c r="AE46" s="198"/>
      <c r="AF46" s="198">
        <f t="shared" si="4"/>
        <v>2088000</v>
      </c>
      <c r="AG46" s="198"/>
      <c r="AH46" s="198">
        <f t="shared" si="5"/>
        <v>25056000</v>
      </c>
      <c r="AI46" s="198"/>
    </row>
    <row r="47" spans="2:38" ht="30.75" customHeight="1" x14ac:dyDescent="0.25">
      <c r="B47" s="166" t="s">
        <v>260</v>
      </c>
      <c r="C47" s="166"/>
      <c r="D47" s="114">
        <f>B46*(F38)</f>
        <v>80000</v>
      </c>
      <c r="E47" s="115"/>
      <c r="F47" s="156">
        <f>B46*E38</f>
        <v>62000</v>
      </c>
      <c r="G47" s="156"/>
      <c r="H47" s="36"/>
      <c r="I47" s="36"/>
      <c r="J47" s="36"/>
      <c r="K47" s="36"/>
      <c r="L47" s="36"/>
      <c r="M47" s="36"/>
      <c r="R47" s="23">
        <v>16</v>
      </c>
      <c r="S47" s="196" t="s">
        <v>265</v>
      </c>
      <c r="T47" s="196"/>
      <c r="U47" s="196"/>
      <c r="V47" s="196">
        <v>170</v>
      </c>
      <c r="W47" s="196"/>
      <c r="X47" s="196">
        <v>7.5</v>
      </c>
      <c r="Y47" s="196"/>
      <c r="Z47" s="198">
        <f>(V47*24)*AL34</f>
        <v>8160</v>
      </c>
      <c r="AA47" s="198"/>
      <c r="AB47" s="198"/>
      <c r="AC47" s="198">
        <f t="shared" si="3"/>
        <v>244800</v>
      </c>
      <c r="AD47" s="198"/>
      <c r="AE47" s="198"/>
      <c r="AF47" s="198">
        <f t="shared" si="4"/>
        <v>1836000</v>
      </c>
      <c r="AG47" s="198"/>
      <c r="AH47" s="198">
        <f t="shared" si="5"/>
        <v>22032000</v>
      </c>
      <c r="AI47" s="198"/>
    </row>
    <row r="48" spans="2:38" ht="45" customHeight="1" x14ac:dyDescent="0.25">
      <c r="B48" s="166" t="s">
        <v>261</v>
      </c>
      <c r="C48" s="166"/>
      <c r="D48" s="114">
        <f>D47*24</f>
        <v>1920000</v>
      </c>
      <c r="E48" s="115"/>
      <c r="F48" s="156">
        <f>F47*24</f>
        <v>1488000</v>
      </c>
      <c r="G48" s="156"/>
      <c r="H48" s="36"/>
      <c r="I48" s="36"/>
      <c r="J48" s="36"/>
      <c r="K48" s="36"/>
      <c r="L48" s="36"/>
      <c r="M48" s="36"/>
      <c r="R48" s="23">
        <v>17</v>
      </c>
      <c r="S48" s="196" t="s">
        <v>266</v>
      </c>
      <c r="T48" s="196"/>
      <c r="U48" s="196"/>
      <c r="V48" s="196">
        <v>7</v>
      </c>
      <c r="W48" s="196"/>
      <c r="X48" s="196">
        <v>86</v>
      </c>
      <c r="Y48" s="196"/>
      <c r="Z48" s="198">
        <f>(V48*24)*AL34</f>
        <v>336</v>
      </c>
      <c r="AA48" s="198"/>
      <c r="AB48" s="198"/>
      <c r="AC48" s="198">
        <f t="shared" si="3"/>
        <v>10080</v>
      </c>
      <c r="AD48" s="198"/>
      <c r="AE48" s="198"/>
      <c r="AF48" s="198">
        <f t="shared" si="4"/>
        <v>866880</v>
      </c>
      <c r="AG48" s="198"/>
      <c r="AH48" s="198">
        <f t="shared" si="5"/>
        <v>10402560</v>
      </c>
      <c r="AI48" s="198"/>
    </row>
    <row r="49" spans="2:35" x14ac:dyDescent="0.25">
      <c r="B49" s="166" t="s">
        <v>262</v>
      </c>
      <c r="C49" s="166"/>
      <c r="D49" s="114">
        <f>D48*30</f>
        <v>57600000</v>
      </c>
      <c r="E49" s="115"/>
      <c r="F49" s="156">
        <f t="shared" ref="F49" si="6">F48*30</f>
        <v>44640000</v>
      </c>
      <c r="G49" s="156"/>
      <c r="H49" s="36"/>
      <c r="I49" s="36"/>
      <c r="J49" s="36"/>
      <c r="K49" s="36"/>
      <c r="L49" s="36"/>
      <c r="M49" s="36"/>
      <c r="R49" s="23">
        <v>18</v>
      </c>
      <c r="S49" s="196" t="s">
        <v>335</v>
      </c>
      <c r="T49" s="196"/>
      <c r="U49" s="196"/>
      <c r="V49" s="196">
        <v>8</v>
      </c>
      <c r="W49" s="196"/>
      <c r="X49" s="196">
        <v>1600</v>
      </c>
      <c r="Y49" s="196"/>
      <c r="Z49" s="198">
        <f>(X49*V49)*AL34</f>
        <v>25600</v>
      </c>
      <c r="AA49" s="198"/>
      <c r="AB49" s="198"/>
      <c r="AC49" s="198">
        <f>((X49*V49)*20)*AL34</f>
        <v>512000</v>
      </c>
      <c r="AD49" s="198"/>
      <c r="AE49" s="198"/>
      <c r="AF49" s="198">
        <f>AC49</f>
        <v>512000</v>
      </c>
      <c r="AG49" s="198"/>
      <c r="AH49" s="198">
        <f t="shared" si="5"/>
        <v>6144000</v>
      </c>
      <c r="AI49" s="198"/>
    </row>
    <row r="50" spans="2:35" ht="34.5" customHeight="1" x14ac:dyDescent="0.25">
      <c r="B50" s="159" t="s">
        <v>263</v>
      </c>
      <c r="C50" s="159"/>
      <c r="D50" s="160">
        <f>D49*12</f>
        <v>691200000</v>
      </c>
      <c r="E50" s="161"/>
      <c r="F50" s="162">
        <f t="shared" ref="F50" si="7">F49*12</f>
        <v>535680000</v>
      </c>
      <c r="G50" s="162"/>
      <c r="H50" s="37"/>
      <c r="I50" s="37"/>
      <c r="J50" s="37"/>
      <c r="K50" s="37"/>
      <c r="L50" s="37"/>
      <c r="M50" s="37"/>
      <c r="R50" s="211" t="s">
        <v>291</v>
      </c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>
        <f>SUM(AF32:AG49)</f>
        <v>90305792</v>
      </c>
      <c r="AG50" s="212"/>
      <c r="AH50" s="212">
        <f t="shared" si="5"/>
        <v>1083669504</v>
      </c>
      <c r="AI50" s="212"/>
    </row>
    <row r="51" spans="2:35" x14ac:dyDescent="0.25">
      <c r="B51" s="155" t="s">
        <v>251</v>
      </c>
      <c r="C51" s="155"/>
      <c r="D51" s="114">
        <f>D49/1000</f>
        <v>57600</v>
      </c>
      <c r="E51" s="115"/>
      <c r="F51" s="156">
        <f>F49/1000</f>
        <v>44640</v>
      </c>
      <c r="G51" s="156"/>
      <c r="H51" s="36"/>
      <c r="I51" s="36"/>
      <c r="J51" s="36"/>
      <c r="K51" s="36"/>
      <c r="L51" s="36"/>
      <c r="M51" s="36"/>
    </row>
    <row r="52" spans="2:35" x14ac:dyDescent="0.25">
      <c r="B52" s="155" t="s">
        <v>252</v>
      </c>
      <c r="C52" s="155"/>
      <c r="D52" s="114">
        <f>D50/1000</f>
        <v>691200</v>
      </c>
      <c r="E52" s="115"/>
      <c r="F52" s="156">
        <f>F50/1000</f>
        <v>535680</v>
      </c>
      <c r="G52" s="156"/>
      <c r="H52" s="36"/>
      <c r="I52" s="36"/>
      <c r="J52" s="36"/>
      <c r="K52" s="36"/>
      <c r="L52" s="36"/>
      <c r="M52" s="36"/>
      <c r="R52" s="197" t="s">
        <v>289</v>
      </c>
      <c r="S52" s="197"/>
      <c r="T52" s="197"/>
      <c r="U52" s="197"/>
      <c r="V52" s="204">
        <f>AF50/D49</f>
        <v>1.5678088888888888</v>
      </c>
      <c r="W52" s="204"/>
      <c r="X52" s="199" t="s">
        <v>303</v>
      </c>
      <c r="Y52" s="199"/>
      <c r="Z52" s="204">
        <f>V52*2</f>
        <v>3.1356177777777776</v>
      </c>
      <c r="AA52" s="197"/>
      <c r="AB52" s="199" t="s">
        <v>304</v>
      </c>
      <c r="AC52" s="199"/>
      <c r="AD52" s="204">
        <f>Z52*50</f>
        <v>156.78088888888888</v>
      </c>
      <c r="AE52" s="197"/>
      <c r="AF52" s="199" t="s">
        <v>305</v>
      </c>
      <c r="AG52" s="199"/>
      <c r="AH52" s="204">
        <f>AD52*10</f>
        <v>1567.8088888888888</v>
      </c>
      <c r="AI52" s="197"/>
    </row>
    <row r="53" spans="2:35" x14ac:dyDescent="0.25">
      <c r="B53" s="157" t="s">
        <v>257</v>
      </c>
      <c r="C53" s="157"/>
      <c r="D53" s="158">
        <f>B46*200764000</f>
        <v>401528000</v>
      </c>
      <c r="E53" s="158"/>
      <c r="F53" s="158">
        <f>B46*131064800</f>
        <v>262129600</v>
      </c>
      <c r="G53" s="158"/>
      <c r="H53" s="34"/>
      <c r="I53" s="34"/>
      <c r="J53" s="34"/>
      <c r="K53" s="34"/>
      <c r="L53" s="34"/>
      <c r="M53" s="34"/>
      <c r="R53" s="197"/>
      <c r="S53" s="197"/>
      <c r="T53" s="197"/>
      <c r="U53" s="197"/>
      <c r="V53" s="204"/>
      <c r="W53" s="204"/>
      <c r="X53" s="199"/>
      <c r="Y53" s="199"/>
      <c r="Z53" s="197"/>
      <c r="AA53" s="197"/>
      <c r="AB53" s="199"/>
      <c r="AC53" s="199"/>
      <c r="AD53" s="197"/>
      <c r="AE53" s="197"/>
      <c r="AF53" s="199"/>
      <c r="AG53" s="199"/>
      <c r="AH53" s="197"/>
      <c r="AI53" s="197"/>
    </row>
    <row r="54" spans="2:35" x14ac:dyDescent="0.25">
      <c r="B54" s="157"/>
      <c r="C54" s="157"/>
      <c r="D54" s="158"/>
      <c r="E54" s="158"/>
      <c r="F54" s="158"/>
      <c r="G54" s="158"/>
      <c r="H54" s="34"/>
      <c r="I54" s="34"/>
      <c r="J54" s="34"/>
      <c r="K54" s="34"/>
      <c r="L54" s="34"/>
      <c r="M54" s="34"/>
    </row>
    <row r="55" spans="2:35" x14ac:dyDescent="0.25">
      <c r="R55" s="199" t="s">
        <v>307</v>
      </c>
      <c r="S55" s="199"/>
      <c r="T55" s="199"/>
      <c r="U55" s="199"/>
      <c r="V55" s="204">
        <f>V52/100*500</f>
        <v>7.8390444444444443</v>
      </c>
      <c r="W55" s="197"/>
      <c r="X55" s="213" t="s">
        <v>308</v>
      </c>
      <c r="Y55" s="214"/>
      <c r="Z55" s="204">
        <f>Z52/100*500</f>
        <v>15.678088888888889</v>
      </c>
      <c r="AA55" s="204"/>
      <c r="AB55" s="199" t="s">
        <v>309</v>
      </c>
      <c r="AC55" s="199"/>
      <c r="AD55" s="204">
        <f>AD52/100*500</f>
        <v>783.90444444444438</v>
      </c>
      <c r="AE55" s="197"/>
      <c r="AF55" s="199" t="s">
        <v>310</v>
      </c>
      <c r="AG55" s="199"/>
      <c r="AH55" s="204">
        <f>AH52/100*500</f>
        <v>7839.0444444444438</v>
      </c>
      <c r="AI55" s="197"/>
    </row>
    <row r="57" spans="2:35" x14ac:dyDescent="0.25">
      <c r="B57" s="33"/>
      <c r="C57" s="33"/>
    </row>
  </sheetData>
  <mergeCells count="403">
    <mergeCell ref="R55:U55"/>
    <mergeCell ref="V55:W55"/>
    <mergeCell ref="X55:Y55"/>
    <mergeCell ref="Z55:AA55"/>
    <mergeCell ref="AB55:AC55"/>
    <mergeCell ref="AD55:AE55"/>
    <mergeCell ref="AF55:AG55"/>
    <mergeCell ref="AH55:AI55"/>
    <mergeCell ref="B33:H33"/>
    <mergeCell ref="B34:C34"/>
    <mergeCell ref="S45:U45"/>
    <mergeCell ref="V45:W45"/>
    <mergeCell ref="S42:U42"/>
    <mergeCell ref="V42:W42"/>
    <mergeCell ref="AF42:AG42"/>
    <mergeCell ref="AH42:AI42"/>
    <mergeCell ref="S43:U43"/>
    <mergeCell ref="V43:W43"/>
    <mergeCell ref="X43:Y43"/>
    <mergeCell ref="Z43:AB43"/>
    <mergeCell ref="AC43:AE43"/>
    <mergeCell ref="AF43:AG43"/>
    <mergeCell ref="AH43:AI43"/>
    <mergeCell ref="S40:U40"/>
    <mergeCell ref="AF44:AG44"/>
    <mergeCell ref="AH44:AI44"/>
    <mergeCell ref="X45:Y45"/>
    <mergeCell ref="Z45:AB45"/>
    <mergeCell ref="AC45:AE45"/>
    <mergeCell ref="AF45:AG45"/>
    <mergeCell ref="AH45:AI45"/>
    <mergeCell ref="X42:Y42"/>
    <mergeCell ref="Z42:AB42"/>
    <mergeCell ref="AC42:AE42"/>
    <mergeCell ref="R52:U53"/>
    <mergeCell ref="V52:W53"/>
    <mergeCell ref="Z46:AB46"/>
    <mergeCell ref="AC46:AE46"/>
    <mergeCell ref="AF46:AG46"/>
    <mergeCell ref="AH46:AI46"/>
    <mergeCell ref="S47:U47"/>
    <mergeCell ref="V47:W47"/>
    <mergeCell ref="X47:Y47"/>
    <mergeCell ref="Z47:AB47"/>
    <mergeCell ref="AC47:AE47"/>
    <mergeCell ref="AF47:AG47"/>
    <mergeCell ref="AH47:AI47"/>
    <mergeCell ref="X52:Y53"/>
    <mergeCell ref="Z52:AA53"/>
    <mergeCell ref="AB52:AC53"/>
    <mergeCell ref="AD52:AE53"/>
    <mergeCell ref="AF52:AG53"/>
    <mergeCell ref="AH52:AI53"/>
    <mergeCell ref="S46:U46"/>
    <mergeCell ref="V46:W46"/>
    <mergeCell ref="X46:Y46"/>
    <mergeCell ref="B26:C28"/>
    <mergeCell ref="V27:W27"/>
    <mergeCell ref="X27:Y27"/>
    <mergeCell ref="Z27:AA27"/>
    <mergeCell ref="AB27:AC27"/>
    <mergeCell ref="AD27:AE27"/>
    <mergeCell ref="S44:U44"/>
    <mergeCell ref="V44:W44"/>
    <mergeCell ref="X44:Y44"/>
    <mergeCell ref="Z44:AB44"/>
    <mergeCell ref="AC44:AE44"/>
    <mergeCell ref="R50:AE50"/>
    <mergeCell ref="AF50:AG50"/>
    <mergeCell ref="AH50:AI50"/>
    <mergeCell ref="S48:U48"/>
    <mergeCell ref="V48:W48"/>
    <mergeCell ref="X48:Y48"/>
    <mergeCell ref="Z48:AB48"/>
    <mergeCell ref="AC48:AE48"/>
    <mergeCell ref="AF48:AG48"/>
    <mergeCell ref="AH48:AI48"/>
    <mergeCell ref="S49:U49"/>
    <mergeCell ref="V49:W49"/>
    <mergeCell ref="X49:Y49"/>
    <mergeCell ref="Z49:AB49"/>
    <mergeCell ref="AC49:AE49"/>
    <mergeCell ref="AF49:AG49"/>
    <mergeCell ref="AH49:AI49"/>
    <mergeCell ref="V40:W40"/>
    <mergeCell ref="X40:Y40"/>
    <mergeCell ref="Z40:AB40"/>
    <mergeCell ref="AC40:AE40"/>
    <mergeCell ref="AF40:AG40"/>
    <mergeCell ref="AH40:AI40"/>
    <mergeCell ref="S41:U41"/>
    <mergeCell ref="V41:W41"/>
    <mergeCell ref="X41:Y41"/>
    <mergeCell ref="Z41:AB41"/>
    <mergeCell ref="AC41:AE41"/>
    <mergeCell ref="AF41:AG41"/>
    <mergeCell ref="AH41:AI41"/>
    <mergeCell ref="S38:U38"/>
    <mergeCell ref="V38:W38"/>
    <mergeCell ref="X38:Y38"/>
    <mergeCell ref="Z38:AB38"/>
    <mergeCell ref="AC38:AE38"/>
    <mergeCell ref="AF38:AG38"/>
    <mergeCell ref="AH38:AI38"/>
    <mergeCell ref="S39:U39"/>
    <mergeCell ref="V39:W39"/>
    <mergeCell ref="X39:Y39"/>
    <mergeCell ref="Z39:AB39"/>
    <mergeCell ref="AC39:AE39"/>
    <mergeCell ref="AF39:AG39"/>
    <mergeCell ref="AH39:AI39"/>
    <mergeCell ref="S36:U36"/>
    <mergeCell ref="V36:W36"/>
    <mergeCell ref="X36:Y36"/>
    <mergeCell ref="Z36:AB36"/>
    <mergeCell ref="AC36:AE36"/>
    <mergeCell ref="AF36:AG36"/>
    <mergeCell ref="AH36:AI36"/>
    <mergeCell ref="S37:U37"/>
    <mergeCell ref="V37:W37"/>
    <mergeCell ref="X37:Y37"/>
    <mergeCell ref="Z37:AB37"/>
    <mergeCell ref="AC37:AE37"/>
    <mergeCell ref="AF37:AG37"/>
    <mergeCell ref="AH37:AI37"/>
    <mergeCell ref="S34:U34"/>
    <mergeCell ref="V34:W34"/>
    <mergeCell ref="X34:Y34"/>
    <mergeCell ref="Z34:AB34"/>
    <mergeCell ref="AC34:AE34"/>
    <mergeCell ref="AF34:AG34"/>
    <mergeCell ref="AH34:AI34"/>
    <mergeCell ref="S35:U35"/>
    <mergeCell ref="V35:W35"/>
    <mergeCell ref="X35:Y35"/>
    <mergeCell ref="Z35:AB35"/>
    <mergeCell ref="AC35:AE35"/>
    <mergeCell ref="AF35:AG35"/>
    <mergeCell ref="AH35:AI35"/>
    <mergeCell ref="S32:U32"/>
    <mergeCell ref="V32:W32"/>
    <mergeCell ref="X32:Y32"/>
    <mergeCell ref="Z32:AB32"/>
    <mergeCell ref="AC32:AE32"/>
    <mergeCell ref="AF32:AG32"/>
    <mergeCell ref="AH32:AI32"/>
    <mergeCell ref="S33:U33"/>
    <mergeCell ref="V33:W33"/>
    <mergeCell ref="X33:Y33"/>
    <mergeCell ref="Z33:AB33"/>
    <mergeCell ref="AC33:AE33"/>
    <mergeCell ref="AF33:AG33"/>
    <mergeCell ref="AH33:AI33"/>
    <mergeCell ref="AJ2:AK3"/>
    <mergeCell ref="AL2:AL3"/>
    <mergeCell ref="R24:U25"/>
    <mergeCell ref="V24:W25"/>
    <mergeCell ref="R29:AI30"/>
    <mergeCell ref="S31:U31"/>
    <mergeCell ref="V31:W31"/>
    <mergeCell ref="X31:Y31"/>
    <mergeCell ref="Z31:AB31"/>
    <mergeCell ref="AC31:AE31"/>
    <mergeCell ref="AF31:AG31"/>
    <mergeCell ref="AH31:AI31"/>
    <mergeCell ref="Z13:AB13"/>
    <mergeCell ref="AC13:AE13"/>
    <mergeCell ref="AF13:AG13"/>
    <mergeCell ref="AH13:AI13"/>
    <mergeCell ref="Z14:AB14"/>
    <mergeCell ref="AC14:AE14"/>
    <mergeCell ref="AF14:AG14"/>
    <mergeCell ref="AH14:AI14"/>
    <mergeCell ref="Z10:AB10"/>
    <mergeCell ref="AC10:AE10"/>
    <mergeCell ref="AF10:AG10"/>
    <mergeCell ref="AH10:AI10"/>
    <mergeCell ref="AL34:AL35"/>
    <mergeCell ref="Z16:AB16"/>
    <mergeCell ref="Z17:AB17"/>
    <mergeCell ref="AC15:AE15"/>
    <mergeCell ref="AC16:AE16"/>
    <mergeCell ref="AC17:AE17"/>
    <mergeCell ref="AF15:AG15"/>
    <mergeCell ref="AH15:AI15"/>
    <mergeCell ref="AF16:AG16"/>
    <mergeCell ref="AH16:AI16"/>
    <mergeCell ref="AF17:AG17"/>
    <mergeCell ref="AH17:AI17"/>
    <mergeCell ref="Z15:AB15"/>
    <mergeCell ref="Z20:AB20"/>
    <mergeCell ref="AC20:AE20"/>
    <mergeCell ref="AF20:AG20"/>
    <mergeCell ref="AH20:AI20"/>
    <mergeCell ref="Z21:AB21"/>
    <mergeCell ref="AC21:AE21"/>
    <mergeCell ref="AF21:AG21"/>
    <mergeCell ref="AH21:AI21"/>
    <mergeCell ref="Z19:AB19"/>
    <mergeCell ref="AC19:AE19"/>
    <mergeCell ref="R22:AE22"/>
    <mergeCell ref="Z12:AB12"/>
    <mergeCell ref="AC12:AE12"/>
    <mergeCell ref="AF12:AG12"/>
    <mergeCell ref="AH12:AI12"/>
    <mergeCell ref="Z7:AB7"/>
    <mergeCell ref="AC7:AE7"/>
    <mergeCell ref="AF7:AG7"/>
    <mergeCell ref="AH7:AI7"/>
    <mergeCell ref="AJ34:AK35"/>
    <mergeCell ref="AF22:AG22"/>
    <mergeCell ref="AH22:AI22"/>
    <mergeCell ref="AF27:AG27"/>
    <mergeCell ref="AH27:AI27"/>
    <mergeCell ref="Z24:AA25"/>
    <mergeCell ref="AB24:AC25"/>
    <mergeCell ref="AD24:AE25"/>
    <mergeCell ref="AF24:AG25"/>
    <mergeCell ref="AH24:AI25"/>
    <mergeCell ref="Z8:AB8"/>
    <mergeCell ref="AC8:AE8"/>
    <mergeCell ref="AF8:AG8"/>
    <mergeCell ref="AH8:AI8"/>
    <mergeCell ref="Z9:AB9"/>
    <mergeCell ref="AC9:AE9"/>
    <mergeCell ref="AF9:AG9"/>
    <mergeCell ref="AH9:AI9"/>
    <mergeCell ref="Z11:AB11"/>
    <mergeCell ref="AC11:AE11"/>
    <mergeCell ref="AF11:AG11"/>
    <mergeCell ref="AH11:AI11"/>
    <mergeCell ref="X14:Y14"/>
    <mergeCell ref="X15:Y15"/>
    <mergeCell ref="X16:Y16"/>
    <mergeCell ref="X17:Y17"/>
    <mergeCell ref="R27:U27"/>
    <mergeCell ref="Z18:AB18"/>
    <mergeCell ref="AC18:AE18"/>
    <mergeCell ref="AF18:AG18"/>
    <mergeCell ref="AH18:AI18"/>
    <mergeCell ref="S20:U20"/>
    <mergeCell ref="S21:U21"/>
    <mergeCell ref="V19:W19"/>
    <mergeCell ref="V20:W20"/>
    <mergeCell ref="V21:W21"/>
    <mergeCell ref="X19:Y19"/>
    <mergeCell ref="X20:Y20"/>
    <mergeCell ref="X21:Y21"/>
    <mergeCell ref="AF19:AG19"/>
    <mergeCell ref="AH19:AI19"/>
    <mergeCell ref="X24:Y25"/>
    <mergeCell ref="S16:U16"/>
    <mergeCell ref="V16:W16"/>
    <mergeCell ref="X8:Y8"/>
    <mergeCell ref="S17:U17"/>
    <mergeCell ref="S18:U18"/>
    <mergeCell ref="V17:W17"/>
    <mergeCell ref="V18:W18"/>
    <mergeCell ref="X18:Y18"/>
    <mergeCell ref="S19:U19"/>
    <mergeCell ref="S11:U11"/>
    <mergeCell ref="V11:W11"/>
    <mergeCell ref="S12:U12"/>
    <mergeCell ref="V12:W12"/>
    <mergeCell ref="S13:U13"/>
    <mergeCell ref="V13:W13"/>
    <mergeCell ref="S14:U14"/>
    <mergeCell ref="V14:W14"/>
    <mergeCell ref="S15:U15"/>
    <mergeCell ref="V15:W15"/>
    <mergeCell ref="X9:Y9"/>
    <mergeCell ref="X10:Y10"/>
    <mergeCell ref="X11:Y11"/>
    <mergeCell ref="X12:Y12"/>
    <mergeCell ref="X13:Y13"/>
    <mergeCell ref="S7:U7"/>
    <mergeCell ref="V7:W7"/>
    <mergeCell ref="S8:U8"/>
    <mergeCell ref="X7:Y7"/>
    <mergeCell ref="S9:U9"/>
    <mergeCell ref="V8:W8"/>
    <mergeCell ref="V9:W9"/>
    <mergeCell ref="S10:U10"/>
    <mergeCell ref="V10:W10"/>
    <mergeCell ref="AC4:AE4"/>
    <mergeCell ref="R2:AI3"/>
    <mergeCell ref="AF4:AG4"/>
    <mergeCell ref="AH4:AI4"/>
    <mergeCell ref="AC5:AE5"/>
    <mergeCell ref="AF5:AG5"/>
    <mergeCell ref="AH5:AI5"/>
    <mergeCell ref="S6:U6"/>
    <mergeCell ref="V6:W6"/>
    <mergeCell ref="X6:Y6"/>
    <mergeCell ref="Z6:AB6"/>
    <mergeCell ref="AC6:AE6"/>
    <mergeCell ref="AF6:AG6"/>
    <mergeCell ref="AH6:AI6"/>
    <mergeCell ref="S4:U4"/>
    <mergeCell ref="V4:W4"/>
    <mergeCell ref="X4:Y4"/>
    <mergeCell ref="Z4:AB4"/>
    <mergeCell ref="S5:U5"/>
    <mergeCell ref="V5:W5"/>
    <mergeCell ref="X5:Y5"/>
    <mergeCell ref="Z5:AB5"/>
    <mergeCell ref="B53:C54"/>
    <mergeCell ref="F53:G54"/>
    <mergeCell ref="D53:E54"/>
    <mergeCell ref="B4:C4"/>
    <mergeCell ref="E4:F4"/>
    <mergeCell ref="H4:I4"/>
    <mergeCell ref="K4:L4"/>
    <mergeCell ref="N4:O4"/>
    <mergeCell ref="N5:O6"/>
    <mergeCell ref="B9:C10"/>
    <mergeCell ref="B11:C12"/>
    <mergeCell ref="D11:D12"/>
    <mergeCell ref="E11:F12"/>
    <mergeCell ref="G11:G12"/>
    <mergeCell ref="H11:I12"/>
    <mergeCell ref="J11:J12"/>
    <mergeCell ref="N7:O8"/>
    <mergeCell ref="M7:M8"/>
    <mergeCell ref="K7:L8"/>
    <mergeCell ref="J7:J8"/>
    <mergeCell ref="H7:I8"/>
    <mergeCell ref="E7:F8"/>
    <mergeCell ref="G7:G8"/>
    <mergeCell ref="K11:L12"/>
    <mergeCell ref="N13:O14"/>
    <mergeCell ref="N15:O16"/>
    <mergeCell ref="M15:M16"/>
    <mergeCell ref="K15:L16"/>
    <mergeCell ref="D7:D8"/>
    <mergeCell ref="B7:C8"/>
    <mergeCell ref="J24:J25"/>
    <mergeCell ref="B17:C18"/>
    <mergeCell ref="B19:C20"/>
    <mergeCell ref="D19:D20"/>
    <mergeCell ref="E19:F20"/>
    <mergeCell ref="G19:G20"/>
    <mergeCell ref="H19:I20"/>
    <mergeCell ref="J15:J16"/>
    <mergeCell ref="H15:I16"/>
    <mergeCell ref="G15:G16"/>
    <mergeCell ref="E15:F16"/>
    <mergeCell ref="D15:D16"/>
    <mergeCell ref="B15:C16"/>
    <mergeCell ref="N21:O23"/>
    <mergeCell ref="B2:O2"/>
    <mergeCell ref="B29:C30"/>
    <mergeCell ref="D29:D30"/>
    <mergeCell ref="E29:F30"/>
    <mergeCell ref="G29:G30"/>
    <mergeCell ref="H29:I30"/>
    <mergeCell ref="J29:J30"/>
    <mergeCell ref="K29:L30"/>
    <mergeCell ref="M29:M30"/>
    <mergeCell ref="N29:O30"/>
    <mergeCell ref="H24:I25"/>
    <mergeCell ref="E24:F25"/>
    <mergeCell ref="G24:G25"/>
    <mergeCell ref="D24:D25"/>
    <mergeCell ref="B24:C25"/>
    <mergeCell ref="J19:J20"/>
    <mergeCell ref="K19:L20"/>
    <mergeCell ref="M19:M20"/>
    <mergeCell ref="N19:O20"/>
    <mergeCell ref="N24:O25"/>
    <mergeCell ref="M24:M25"/>
    <mergeCell ref="K24:L25"/>
    <mergeCell ref="M11:M12"/>
    <mergeCell ref="N11:O12"/>
    <mergeCell ref="B41:C41"/>
    <mergeCell ref="B45:C45"/>
    <mergeCell ref="B35:C35"/>
    <mergeCell ref="B36:C36"/>
    <mergeCell ref="B37:C37"/>
    <mergeCell ref="B38:C38"/>
    <mergeCell ref="B39:C39"/>
    <mergeCell ref="B40:C40"/>
    <mergeCell ref="B47:C47"/>
    <mergeCell ref="F46:G46"/>
    <mergeCell ref="F47:G47"/>
    <mergeCell ref="F48:G48"/>
    <mergeCell ref="F49:G49"/>
    <mergeCell ref="F50:G50"/>
    <mergeCell ref="B51:C51"/>
    <mergeCell ref="B52:C52"/>
    <mergeCell ref="D51:E51"/>
    <mergeCell ref="D52:E52"/>
    <mergeCell ref="F51:G51"/>
    <mergeCell ref="F52:G52"/>
    <mergeCell ref="B48:C48"/>
    <mergeCell ref="B49:C49"/>
    <mergeCell ref="B50:C50"/>
    <mergeCell ref="B46:C46"/>
    <mergeCell ref="D47:E47"/>
    <mergeCell ref="D48:E48"/>
    <mergeCell ref="D49:E49"/>
    <mergeCell ref="D50:E50"/>
    <mergeCell ref="D46:E4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Затраты основные (год)</vt:lpstr>
      <vt:lpstr>Рентабельность</vt:lpstr>
      <vt:lpstr>Лист1</vt:lpstr>
      <vt:lpstr>ГОСТы (ISO)</vt:lpstr>
      <vt:lpstr>Производственная линия</vt:lpstr>
      <vt:lpstr>Упаковочная линия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2022-03-03T10:31:00Z</dcterms:modified>
</cp:coreProperties>
</file>