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ФМ + реинвестирование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J33" i="2"/>
  <c r="K33" i="2"/>
  <c r="L33" i="2"/>
  <c r="M33" i="2"/>
  <c r="N33" i="2"/>
  <c r="C48" i="2" l="1"/>
  <c r="A48" i="2"/>
  <c r="B26" i="2"/>
  <c r="C47" i="2"/>
  <c r="C46" i="2" s="1"/>
  <c r="C50" i="2" s="1"/>
  <c r="C38" i="2"/>
  <c r="C34" i="2"/>
  <c r="O32" i="2"/>
  <c r="N22" i="2"/>
  <c r="M22" i="2"/>
  <c r="L22" i="2"/>
  <c r="K22" i="2"/>
  <c r="J22" i="2"/>
  <c r="I22" i="2"/>
  <c r="H22" i="2"/>
  <c r="G22" i="2"/>
  <c r="F22" i="2"/>
  <c r="E22" i="2"/>
  <c r="D22" i="2"/>
  <c r="E18" i="2"/>
  <c r="C17" i="2"/>
  <c r="D18" i="2" s="1"/>
  <c r="C37" i="2" l="1"/>
  <c r="C40" i="2" s="1"/>
  <c r="D19" i="2"/>
  <c r="D20" i="2" s="1"/>
  <c r="D24" i="2" l="1"/>
  <c r="D25" i="2" s="1"/>
  <c r="D34" i="2" l="1"/>
  <c r="D26" i="2"/>
  <c r="D29" i="2"/>
  <c r="E20" i="2" s="1"/>
  <c r="E19" i="2" s="1"/>
  <c r="E24" i="2" l="1"/>
  <c r="E25" i="2" s="1"/>
  <c r="D27" i="2"/>
  <c r="D35" i="2" l="1"/>
  <c r="E34" i="2"/>
  <c r="E26" i="2"/>
  <c r="D37" i="2"/>
  <c r="E29" i="2"/>
  <c r="D43" i="2" l="1"/>
  <c r="D42" i="2"/>
  <c r="D40" i="2"/>
  <c r="D38" i="2"/>
  <c r="D44" i="2" l="1"/>
  <c r="E27" i="2"/>
  <c r="E37" i="2"/>
  <c r="E40" i="2" s="1"/>
  <c r="E35" i="2"/>
  <c r="E38" i="2" s="1"/>
  <c r="D30" i="2" l="1"/>
  <c r="E17" i="2" s="1"/>
  <c r="D50" i="2"/>
  <c r="D49" i="2" s="1"/>
  <c r="E43" i="2"/>
  <c r="E42" i="2"/>
  <c r="F18" i="2" l="1"/>
  <c r="F20" i="2" s="1"/>
  <c r="F19" i="2" s="1"/>
  <c r="E44" i="2"/>
  <c r="E30" i="2" s="1"/>
  <c r="F17" i="2" s="1"/>
  <c r="G18" i="2" l="1"/>
  <c r="E50" i="2"/>
  <c r="E49" i="2" s="1"/>
  <c r="F24" i="2"/>
  <c r="F25" i="2" s="1"/>
  <c r="F29" i="2" l="1"/>
  <c r="G20" i="2" s="1"/>
  <c r="G19" i="2" s="1"/>
  <c r="F26" i="2"/>
  <c r="F34" i="2"/>
  <c r="F27" i="2" l="1"/>
  <c r="F37" i="2"/>
  <c r="F43" i="2" s="1"/>
  <c r="F35" i="2"/>
  <c r="F38" i="2" s="1"/>
  <c r="G24" i="2"/>
  <c r="G29" i="2" l="1"/>
  <c r="G25" i="2"/>
  <c r="G26" i="2" s="1"/>
  <c r="F40" i="2"/>
  <c r="F42" i="2"/>
  <c r="F44" i="2" s="1"/>
  <c r="G34" i="2"/>
  <c r="G27" i="2" l="1"/>
  <c r="G37" i="2"/>
  <c r="G43" i="2" s="1"/>
  <c r="F30" i="2"/>
  <c r="G17" i="2" s="1"/>
  <c r="F50" i="2"/>
  <c r="F49" i="2" s="1"/>
  <c r="G35" i="2" l="1"/>
  <c r="G38" i="2" s="1"/>
  <c r="G42" i="2"/>
  <c r="G44" i="2" s="1"/>
  <c r="G30" i="2" s="1"/>
  <c r="H17" i="2" s="1"/>
  <c r="G40" i="2"/>
  <c r="H18" i="2"/>
  <c r="H20" i="2" s="1"/>
  <c r="H19" i="2" s="1"/>
  <c r="G50" i="2" l="1"/>
  <c r="G49" i="2" s="1"/>
  <c r="I18" i="2"/>
  <c r="H24" i="2"/>
  <c r="H25" i="2" s="1"/>
  <c r="H29" i="2" l="1"/>
  <c r="I20" i="2" s="1"/>
  <c r="I19" i="2" s="1"/>
  <c r="H34" i="2"/>
  <c r="H26" i="2" l="1"/>
  <c r="H27" i="2" s="1"/>
  <c r="I24" i="2"/>
  <c r="I25" i="2" s="1"/>
  <c r="I29" i="2" l="1"/>
  <c r="I34" i="2"/>
  <c r="I26" i="2"/>
  <c r="H37" i="2"/>
  <c r="H35" i="2"/>
  <c r="H38" i="2" s="1"/>
  <c r="I27" i="2" l="1"/>
  <c r="H43" i="2"/>
  <c r="H42" i="2"/>
  <c r="H40" i="2"/>
  <c r="I35" i="2"/>
  <c r="I38" i="2" s="1"/>
  <c r="I37" i="2" l="1"/>
  <c r="I42" i="2" s="1"/>
  <c r="H44" i="2"/>
  <c r="H50" i="2" s="1"/>
  <c r="H49" i="2" s="1"/>
  <c r="I40" i="2"/>
  <c r="I43" i="2"/>
  <c r="I44" i="2" s="1"/>
  <c r="I30" i="2" s="1"/>
  <c r="J17" i="2" s="1"/>
  <c r="K18" i="2" s="1"/>
  <c r="H30" i="2" l="1"/>
  <c r="I17" i="2" s="1"/>
  <c r="I50" i="2" s="1"/>
  <c r="I49" i="2" s="1"/>
  <c r="J18" i="2" l="1"/>
  <c r="J20" i="2" l="1"/>
  <c r="J19" i="2" s="1"/>
  <c r="J24" i="2" l="1"/>
  <c r="J34" i="2" s="1"/>
  <c r="J29" i="2" l="1"/>
  <c r="K20" i="2" s="1"/>
  <c r="J25" i="2"/>
  <c r="J26" i="2" s="1"/>
  <c r="K19" i="2" l="1"/>
  <c r="K24" i="2"/>
  <c r="K29" i="2" s="1"/>
  <c r="J27" i="2"/>
  <c r="J35" i="2" s="1"/>
  <c r="J38" i="2" s="1"/>
  <c r="J37" i="2" l="1"/>
  <c r="J42" i="2" s="1"/>
  <c r="J40" i="2"/>
  <c r="J43" i="2"/>
  <c r="J44" i="2" s="1"/>
  <c r="J30" i="2" s="1"/>
  <c r="K17" i="2" s="1"/>
  <c r="L18" i="2" s="1"/>
  <c r="L20" i="2" s="1"/>
  <c r="K25" i="2"/>
  <c r="K34" i="2"/>
  <c r="J50" i="2" l="1"/>
  <c r="J49" i="2" s="1"/>
  <c r="L19" i="2"/>
  <c r="L24" i="2"/>
  <c r="L25" i="2" s="1"/>
  <c r="L26" i="2" s="1"/>
  <c r="L27" i="2" s="1"/>
  <c r="L29" i="2"/>
  <c r="K26" i="2"/>
  <c r="K27" i="2" s="1"/>
  <c r="K35" i="2" s="1"/>
  <c r="K38" i="2" s="1"/>
  <c r="K37" i="2"/>
  <c r="L34" i="2"/>
  <c r="K43" i="2" l="1"/>
  <c r="K40" i="2"/>
  <c r="K42" i="2"/>
  <c r="L35" i="2"/>
  <c r="L38" i="2" s="1"/>
  <c r="L37" i="2"/>
  <c r="L42" i="2" s="1"/>
  <c r="K44" i="2" l="1"/>
  <c r="L40" i="2"/>
  <c r="L43" i="2"/>
  <c r="L44" i="2" s="1"/>
  <c r="K30" i="2" l="1"/>
  <c r="L17" i="2" s="1"/>
  <c r="M18" i="2" s="1"/>
  <c r="M20" i="2" s="1"/>
  <c r="K50" i="2"/>
  <c r="K49" i="2" s="1"/>
  <c r="L30" i="2"/>
  <c r="M17" i="2" s="1"/>
  <c r="N18" i="2" s="1"/>
  <c r="L50" i="2" l="1"/>
  <c r="L49" i="2" s="1"/>
  <c r="M19" i="2"/>
  <c r="M24" i="2"/>
  <c r="O18" i="2"/>
  <c r="M29" i="2" l="1"/>
  <c r="N20" i="2" s="1"/>
  <c r="N19" i="2" s="1"/>
  <c r="B13" i="2" s="1"/>
  <c r="M25" i="2"/>
  <c r="M34" i="2"/>
  <c r="N24" i="2" l="1"/>
  <c r="N25" i="2" s="1"/>
  <c r="M26" i="2"/>
  <c r="M27" i="2" s="1"/>
  <c r="M37" i="2"/>
  <c r="M35" i="2" l="1"/>
  <c r="O24" i="2"/>
  <c r="N29" i="2"/>
  <c r="N34" i="2"/>
  <c r="O34" i="2" s="1"/>
  <c r="M42" i="2"/>
  <c r="M43" i="2"/>
  <c r="M40" i="2"/>
  <c r="M38" i="2"/>
  <c r="N26" i="2"/>
  <c r="O25" i="2"/>
  <c r="M44" i="2" l="1"/>
  <c r="O26" i="2"/>
  <c r="N27" i="2"/>
  <c r="O27" i="2" l="1"/>
  <c r="M30" i="2"/>
  <c r="N17" i="2" s="1"/>
  <c r="O17" i="2" s="1"/>
  <c r="M50" i="2"/>
  <c r="M49" i="2" s="1"/>
  <c r="O33" i="2" l="1"/>
  <c r="N37" i="2"/>
  <c r="N35" i="2"/>
  <c r="N43" i="2" l="1"/>
  <c r="N42" i="2"/>
  <c r="N44" i="2" s="1"/>
  <c r="N30" i="2" s="1"/>
  <c r="O37" i="2"/>
  <c r="O43" i="2" s="1"/>
  <c r="N40" i="2"/>
  <c r="O42" i="2" s="1"/>
  <c r="B12" i="2" s="1"/>
  <c r="N38" i="2"/>
  <c r="O38" i="2" s="1"/>
  <c r="O35" i="2"/>
  <c r="C49" i="2"/>
  <c r="O30" i="2" l="1"/>
  <c r="B14" i="2"/>
  <c r="N50" i="2"/>
  <c r="N49" i="2" s="1"/>
  <c r="B8" i="2"/>
  <c r="B6" i="2" s="1"/>
  <c r="B10" i="2" l="1"/>
  <c r="B11" i="2"/>
</calcChain>
</file>

<file path=xl/sharedStrings.xml><?xml version="1.0" encoding="utf-8"?>
<sst xmlns="http://schemas.openxmlformats.org/spreadsheetml/2006/main" count="41" uniqueCount="40">
  <si>
    <t>Срок поставки с момента оплаты, месяц</t>
  </si>
  <si>
    <t>Закуп товаров</t>
  </si>
  <si>
    <t>Объем инвестиций в товар</t>
  </si>
  <si>
    <t>Себестоимость</t>
  </si>
  <si>
    <t>Цена продажи</t>
  </si>
  <si>
    <t>Поставка товара на склад</t>
  </si>
  <si>
    <t>Торговая наценка</t>
  </si>
  <si>
    <t>Выручка от продажи</t>
  </si>
  <si>
    <t>Валовая прибыль</t>
  </si>
  <si>
    <t>Остаток товара в конце месяца</t>
  </si>
  <si>
    <t>Реинвестирование в закуп</t>
  </si>
  <si>
    <t>Итого</t>
  </si>
  <si>
    <t>Оборачиваемость товара</t>
  </si>
  <si>
    <t>Постоянные расходы</t>
  </si>
  <si>
    <t>Налоги Доходы- расходы, 15%</t>
  </si>
  <si>
    <t xml:space="preserve">Налоги, 6% </t>
  </si>
  <si>
    <t>Переменные расходы, фулфилмент, комиссия ВБ</t>
  </si>
  <si>
    <t>Финансовый результат, 6%</t>
  </si>
  <si>
    <t>Финансовый результат, Доходы-расходы</t>
  </si>
  <si>
    <t>Прибыль накопительным итогом</t>
  </si>
  <si>
    <t>Выплата инвестору</t>
  </si>
  <si>
    <t>Параметры</t>
  </si>
  <si>
    <t>Выплата управляющей компании</t>
  </si>
  <si>
    <t>Статья</t>
  </si>
  <si>
    <t>Параментр</t>
  </si>
  <si>
    <t>Расчетный процент годовых</t>
  </si>
  <si>
    <t>Займ</t>
  </si>
  <si>
    <t>Сумма инвестиций</t>
  </si>
  <si>
    <t>Займ*</t>
  </si>
  <si>
    <t>Оплата УК</t>
  </si>
  <si>
    <t>Cash Flow</t>
  </si>
  <si>
    <t>Поступления</t>
  </si>
  <si>
    <t>Инвестиции</t>
  </si>
  <si>
    <t>Сумма для реинвестирования в закуп из Чистой прибыли</t>
  </si>
  <si>
    <t>Процент инвестора</t>
  </si>
  <si>
    <t>Сумма выплат инветору</t>
  </si>
  <si>
    <t>Товар на складах</t>
  </si>
  <si>
    <t>Товары в пути</t>
  </si>
  <si>
    <t>Оплата УП, запуск Магазина</t>
  </si>
  <si>
    <t>Себестоимость в ценах поставки на начало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</si>
</sst>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3" fontId="0" fillId="2" borderId="0" xfId="0" applyNumberFormat="1" applyFill="1"/>
    <xf numFmtId="0" fontId="0" fillId="0" borderId="1" xfId="0" applyBorder="1"/>
    <xf numFmtId="0" fontId="0" fillId="3" borderId="1" xfId="0" applyFill="1" applyBorder="1"/>
    <xf numFmtId="3" fontId="0" fillId="0" borderId="1" xfId="0" applyNumberFormat="1" applyBorder="1"/>
    <xf numFmtId="3" fontId="0" fillId="3" borderId="1" xfId="0" applyNumberFormat="1" applyFill="1" applyBorder="1"/>
    <xf numFmtId="9" fontId="0" fillId="3" borderId="1" xfId="0" applyNumberFormat="1" applyFill="1" applyBorder="1"/>
    <xf numFmtId="3" fontId="0" fillId="4" borderId="1" xfId="0" applyNumberFormat="1" applyFill="1" applyBorder="1"/>
    <xf numFmtId="9" fontId="0" fillId="0" borderId="1" xfId="0" applyNumberFormat="1" applyBorder="1"/>
    <xf numFmtId="0" fontId="0" fillId="5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6" borderId="0" xfId="0" applyNumberFormat="1" applyFill="1"/>
    <xf numFmtId="9" fontId="0" fillId="6" borderId="0" xfId="0" applyNumberFormat="1" applyFill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B43" sqref="B43"/>
    </sheetView>
  </sheetViews>
  <sheetFormatPr defaultRowHeight="14.4" x14ac:dyDescent="0.3"/>
  <cols>
    <col min="1" max="1" width="47.44140625" bestFit="1" customWidth="1"/>
    <col min="2" max="2" width="15.33203125" customWidth="1"/>
    <col min="3" max="3" width="8.88671875" bestFit="1" customWidth="1"/>
    <col min="4" max="4" width="11.5546875" bestFit="1" customWidth="1"/>
    <col min="6" max="6" width="10.33203125" bestFit="1" customWidth="1"/>
    <col min="9" max="15" width="9.88671875" bestFit="1" customWidth="1"/>
  </cols>
  <sheetData>
    <row r="1" spans="1:15" x14ac:dyDescent="0.3">
      <c r="B1" t="s">
        <v>21</v>
      </c>
    </row>
    <row r="2" spans="1:15" x14ac:dyDescent="0.3">
      <c r="A2" t="s">
        <v>0</v>
      </c>
      <c r="B2">
        <v>1</v>
      </c>
    </row>
    <row r="3" spans="1:15" x14ac:dyDescent="0.3">
      <c r="A3" t="s">
        <v>12</v>
      </c>
      <c r="B3" s="14">
        <v>0.35</v>
      </c>
    </row>
    <row r="4" spans="1:15" x14ac:dyDescent="0.3">
      <c r="A4" t="s">
        <v>6</v>
      </c>
      <c r="B4" s="14">
        <v>2.5</v>
      </c>
    </row>
    <row r="6" spans="1:15" x14ac:dyDescent="0.3">
      <c r="A6" t="s">
        <v>27</v>
      </c>
      <c r="B6" s="2">
        <f>B7+B8+B9</f>
        <v>2800000</v>
      </c>
    </row>
    <row r="7" spans="1:15" x14ac:dyDescent="0.3">
      <c r="A7" t="s">
        <v>29</v>
      </c>
      <c r="B7" s="13">
        <v>800000</v>
      </c>
    </row>
    <row r="8" spans="1:15" x14ac:dyDescent="0.3">
      <c r="A8" t="s">
        <v>28</v>
      </c>
      <c r="B8" s="13">
        <f>SUM(C49:N49)</f>
        <v>0</v>
      </c>
    </row>
    <row r="9" spans="1:15" x14ac:dyDescent="0.3">
      <c r="A9" t="s">
        <v>2</v>
      </c>
      <c r="B9" s="13">
        <v>2000000</v>
      </c>
    </row>
    <row r="10" spans="1:15" x14ac:dyDescent="0.3">
      <c r="A10" s="3" t="s">
        <v>25</v>
      </c>
      <c r="B10" s="9">
        <f>O37/B6</f>
        <v>2.7003055090655201</v>
      </c>
    </row>
    <row r="11" spans="1:15" x14ac:dyDescent="0.3">
      <c r="A11" s="3" t="s">
        <v>34</v>
      </c>
      <c r="B11" s="9">
        <f>O42/B6</f>
        <v>0.810091652719656</v>
      </c>
      <c r="C11" s="1"/>
    </row>
    <row r="12" spans="1:15" x14ac:dyDescent="0.3">
      <c r="A12" s="3" t="s">
        <v>35</v>
      </c>
      <c r="B12" s="5">
        <f>O42</f>
        <v>2268256.6276150369</v>
      </c>
      <c r="C12" s="1"/>
    </row>
    <row r="13" spans="1:15" x14ac:dyDescent="0.3">
      <c r="A13" s="3" t="s">
        <v>36</v>
      </c>
      <c r="B13" s="5">
        <f>N19</f>
        <v>3540395.4247281328</v>
      </c>
      <c r="C13" s="1"/>
    </row>
    <row r="14" spans="1:15" x14ac:dyDescent="0.3">
      <c r="A14" s="3" t="s">
        <v>37</v>
      </c>
      <c r="B14" s="5">
        <f>N30</f>
        <v>1838817.1298410287</v>
      </c>
      <c r="C14" s="1"/>
    </row>
    <row r="15" spans="1:15" x14ac:dyDescent="0.3">
      <c r="B15" s="1"/>
      <c r="C15" s="1"/>
    </row>
    <row r="16" spans="1:15" x14ac:dyDescent="0.3">
      <c r="A16" s="10" t="s">
        <v>23</v>
      </c>
      <c r="B16" s="10" t="s">
        <v>24</v>
      </c>
      <c r="C16" s="10">
        <v>1</v>
      </c>
      <c r="D16" s="10">
        <v>2</v>
      </c>
      <c r="E16" s="10">
        <v>3</v>
      </c>
      <c r="F16" s="10">
        <v>4</v>
      </c>
      <c r="G16" s="10">
        <v>5</v>
      </c>
      <c r="H16" s="10">
        <v>6</v>
      </c>
      <c r="I16" s="10">
        <v>7</v>
      </c>
      <c r="J16" s="10">
        <v>8</v>
      </c>
      <c r="K16" s="10">
        <v>9</v>
      </c>
      <c r="L16" s="10">
        <v>10</v>
      </c>
      <c r="M16" s="10">
        <v>11</v>
      </c>
      <c r="N16" s="10">
        <v>12</v>
      </c>
      <c r="O16" s="4" t="s">
        <v>11</v>
      </c>
    </row>
    <row r="17" spans="1:15" x14ac:dyDescent="0.3">
      <c r="A17" s="3" t="s">
        <v>1</v>
      </c>
      <c r="B17" s="3"/>
      <c r="C17" s="5">
        <f>B9</f>
        <v>2000000</v>
      </c>
      <c r="D17" s="3"/>
      <c r="E17" s="5">
        <f>D30</f>
        <v>973500</v>
      </c>
      <c r="F17" s="5">
        <f t="shared" ref="F17:N17" si="0">E30</f>
        <v>580275</v>
      </c>
      <c r="G17" s="5">
        <f t="shared" si="0"/>
        <v>871542.375</v>
      </c>
      <c r="H17" s="5">
        <f t="shared" si="0"/>
        <v>839972.02500000014</v>
      </c>
      <c r="I17" s="5">
        <f t="shared" si="0"/>
        <v>983070.74540625</v>
      </c>
      <c r="J17" s="5">
        <f t="shared" si="0"/>
        <v>1058350.2695578125</v>
      </c>
      <c r="K17" s="5">
        <f t="shared" si="0"/>
        <v>1187667.6664445389</v>
      </c>
      <c r="L17" s="5">
        <f t="shared" si="0"/>
        <v>1314012.2471130514</v>
      </c>
      <c r="M17" s="5">
        <f t="shared" si="0"/>
        <v>1468780.2722487035</v>
      </c>
      <c r="N17" s="5">
        <f t="shared" si="0"/>
        <v>1640353.5567774137</v>
      </c>
      <c r="O17" s="6">
        <f>SUM(C17:N17)</f>
        <v>12917524.15754777</v>
      </c>
    </row>
    <row r="18" spans="1:15" x14ac:dyDescent="0.3">
      <c r="A18" s="3" t="s">
        <v>5</v>
      </c>
      <c r="B18" s="3"/>
      <c r="C18" s="5"/>
      <c r="D18" s="5">
        <f>C17</f>
        <v>2000000</v>
      </c>
      <c r="E18" s="5">
        <f>D17</f>
        <v>0</v>
      </c>
      <c r="F18" s="5">
        <f>E17</f>
        <v>973500</v>
      </c>
      <c r="G18" s="5">
        <f t="shared" ref="G18:N18" si="1">F17</f>
        <v>580275</v>
      </c>
      <c r="H18" s="5">
        <f t="shared" si="1"/>
        <v>871542.375</v>
      </c>
      <c r="I18" s="5">
        <f t="shared" si="1"/>
        <v>839972.02500000014</v>
      </c>
      <c r="J18" s="5">
        <f t="shared" si="1"/>
        <v>983070.74540625</v>
      </c>
      <c r="K18" s="5">
        <f t="shared" si="1"/>
        <v>1058350.2695578125</v>
      </c>
      <c r="L18" s="5">
        <f t="shared" si="1"/>
        <v>1187667.6664445389</v>
      </c>
      <c r="M18" s="5">
        <f t="shared" si="1"/>
        <v>1314012.2471130514</v>
      </c>
      <c r="N18" s="5">
        <f t="shared" si="1"/>
        <v>1468780.2722487035</v>
      </c>
      <c r="O18" s="6">
        <f t="shared" ref="O18:O38" si="2">SUM(C18:N18)</f>
        <v>11277170.600770356</v>
      </c>
    </row>
    <row r="19" spans="1:15" x14ac:dyDescent="0.3">
      <c r="A19" s="3" t="s">
        <v>39</v>
      </c>
      <c r="B19" s="3"/>
      <c r="C19" s="3"/>
      <c r="D19" s="5">
        <f>D18</f>
        <v>2000000</v>
      </c>
      <c r="E19" s="5">
        <f>E20/$B$4</f>
        <v>1300000</v>
      </c>
      <c r="F19" s="5">
        <f t="shared" ref="F19:N19" si="3">F20/$B$4</f>
        <v>1818500</v>
      </c>
      <c r="G19" s="5">
        <f t="shared" si="3"/>
        <v>1762300</v>
      </c>
      <c r="H19" s="5">
        <f t="shared" si="3"/>
        <v>2017037.375</v>
      </c>
      <c r="I19" s="5">
        <f t="shared" si="3"/>
        <v>2151046.3187500001</v>
      </c>
      <c r="J19" s="5">
        <f t="shared" si="3"/>
        <v>2381250.8525937498</v>
      </c>
      <c r="K19" s="5">
        <f t="shared" si="3"/>
        <v>2606163.3237437499</v>
      </c>
      <c r="L19" s="5">
        <f t="shared" si="3"/>
        <v>2881673.8268779768</v>
      </c>
      <c r="M19" s="5">
        <f t="shared" si="3"/>
        <v>3187100.2345837364</v>
      </c>
      <c r="N19" s="5">
        <f t="shared" si="3"/>
        <v>3540395.4247281328</v>
      </c>
      <c r="O19" s="6"/>
    </row>
    <row r="20" spans="1:15" x14ac:dyDescent="0.3">
      <c r="A20" s="3" t="s">
        <v>4</v>
      </c>
      <c r="B20" s="3"/>
      <c r="C20" s="3"/>
      <c r="D20" s="5">
        <f>D19*B4</f>
        <v>5000000</v>
      </c>
      <c r="E20" s="5">
        <f>E18*$B$4+D29</f>
        <v>3250000</v>
      </c>
      <c r="F20" s="5">
        <f t="shared" ref="F20:N20" si="4">F18*$B$4+E29</f>
        <v>4546250</v>
      </c>
      <c r="G20" s="5">
        <f t="shared" si="4"/>
        <v>4405750</v>
      </c>
      <c r="H20" s="5">
        <f t="shared" si="4"/>
        <v>5042593.4375</v>
      </c>
      <c r="I20" s="5">
        <f t="shared" si="4"/>
        <v>5377615.796875</v>
      </c>
      <c r="J20" s="5">
        <f t="shared" si="4"/>
        <v>5953127.1314843744</v>
      </c>
      <c r="K20" s="5">
        <f t="shared" si="4"/>
        <v>6515408.3093593745</v>
      </c>
      <c r="L20" s="5">
        <f t="shared" si="4"/>
        <v>7204184.5671949415</v>
      </c>
      <c r="M20" s="5">
        <f t="shared" si="4"/>
        <v>7967750.5864593405</v>
      </c>
      <c r="N20" s="5">
        <f t="shared" si="4"/>
        <v>8850988.561820332</v>
      </c>
      <c r="O20" s="6"/>
    </row>
    <row r="21" spans="1:1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</row>
    <row r="22" spans="1:15" x14ac:dyDescent="0.3">
      <c r="A22" s="4" t="s">
        <v>12</v>
      </c>
      <c r="B22" s="4"/>
      <c r="C22" s="4"/>
      <c r="D22" s="7">
        <f t="shared" ref="D22:N22" si="5">$B$3</f>
        <v>0.35</v>
      </c>
      <c r="E22" s="7">
        <f t="shared" si="5"/>
        <v>0.35</v>
      </c>
      <c r="F22" s="7">
        <f t="shared" si="5"/>
        <v>0.35</v>
      </c>
      <c r="G22" s="7">
        <f t="shared" si="5"/>
        <v>0.35</v>
      </c>
      <c r="H22" s="7">
        <f t="shared" si="5"/>
        <v>0.35</v>
      </c>
      <c r="I22" s="7">
        <f t="shared" si="5"/>
        <v>0.35</v>
      </c>
      <c r="J22" s="7">
        <f t="shared" si="5"/>
        <v>0.35</v>
      </c>
      <c r="K22" s="7">
        <f t="shared" si="5"/>
        <v>0.35</v>
      </c>
      <c r="L22" s="7">
        <f t="shared" si="5"/>
        <v>0.35</v>
      </c>
      <c r="M22" s="7">
        <f t="shared" si="5"/>
        <v>0.35</v>
      </c>
      <c r="N22" s="7">
        <f t="shared" si="5"/>
        <v>0.35</v>
      </c>
      <c r="O22" s="6"/>
    </row>
    <row r="23" spans="1:1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/>
    </row>
    <row r="24" spans="1:15" x14ac:dyDescent="0.3">
      <c r="A24" s="11" t="s">
        <v>7</v>
      </c>
      <c r="B24" s="11"/>
      <c r="C24" s="11"/>
      <c r="D24" s="12">
        <f>D20*D22</f>
        <v>1750000</v>
      </c>
      <c r="E24" s="12">
        <f>E20*E22</f>
        <v>1137500</v>
      </c>
      <c r="F24" s="12">
        <f>F20*F22</f>
        <v>1591187.5</v>
      </c>
      <c r="G24" s="12">
        <f t="shared" ref="G24:N24" si="6">G20*G22</f>
        <v>1542012.5</v>
      </c>
      <c r="H24" s="12">
        <f t="shared" si="6"/>
        <v>1764907.703125</v>
      </c>
      <c r="I24" s="12">
        <f t="shared" si="6"/>
        <v>1882165.5289062499</v>
      </c>
      <c r="J24" s="12">
        <f t="shared" si="6"/>
        <v>2083594.4960195308</v>
      </c>
      <c r="K24" s="12">
        <f t="shared" si="6"/>
        <v>2280392.9082757807</v>
      </c>
      <c r="L24" s="12">
        <f t="shared" si="6"/>
        <v>2521464.5985182296</v>
      </c>
      <c r="M24" s="12">
        <f t="shared" si="6"/>
        <v>2788712.705260769</v>
      </c>
      <c r="N24" s="12">
        <f t="shared" si="6"/>
        <v>3097845.9966371162</v>
      </c>
      <c r="O24" s="6">
        <f t="shared" si="2"/>
        <v>22439783.936742678</v>
      </c>
    </row>
    <row r="25" spans="1:15" x14ac:dyDescent="0.3">
      <c r="A25" s="3" t="s">
        <v>3</v>
      </c>
      <c r="B25" s="3"/>
      <c r="C25" s="3"/>
      <c r="D25" s="5">
        <f>D24/$B$4</f>
        <v>700000</v>
      </c>
      <c r="E25" s="5">
        <f t="shared" ref="E25:N25" si="7">E24/$B$4</f>
        <v>455000</v>
      </c>
      <c r="F25" s="5">
        <f t="shared" si="7"/>
        <v>636475</v>
      </c>
      <c r="G25" s="5">
        <f t="shared" si="7"/>
        <v>616805</v>
      </c>
      <c r="H25" s="5">
        <f t="shared" si="7"/>
        <v>705963.08125000005</v>
      </c>
      <c r="I25" s="5">
        <f t="shared" si="7"/>
        <v>752866.21156249999</v>
      </c>
      <c r="J25" s="5">
        <f t="shared" si="7"/>
        <v>833437.79840781237</v>
      </c>
      <c r="K25" s="5">
        <f t="shared" si="7"/>
        <v>912157.16331031232</v>
      </c>
      <c r="L25" s="5">
        <f t="shared" si="7"/>
        <v>1008585.8394072918</v>
      </c>
      <c r="M25" s="5">
        <f t="shared" si="7"/>
        <v>1115485.0821043076</v>
      </c>
      <c r="N25" s="5">
        <f t="shared" si="7"/>
        <v>1239138.3986548465</v>
      </c>
      <c r="O25" s="6">
        <f t="shared" si="2"/>
        <v>8975913.5746970698</v>
      </c>
    </row>
    <row r="26" spans="1:15" x14ac:dyDescent="0.3">
      <c r="A26" s="3" t="s">
        <v>16</v>
      </c>
      <c r="B26" s="9">
        <f>14%</f>
        <v>0.14000000000000001</v>
      </c>
      <c r="C26" s="3"/>
      <c r="D26" s="5">
        <f>D25*$B$26</f>
        <v>98000.000000000015</v>
      </c>
      <c r="E26" s="5">
        <f t="shared" ref="E26:N26" si="8">E25*$B$26</f>
        <v>63700.000000000007</v>
      </c>
      <c r="F26" s="5">
        <f t="shared" si="8"/>
        <v>89106.500000000015</v>
      </c>
      <c r="G26" s="5">
        <f t="shared" si="8"/>
        <v>86352.700000000012</v>
      </c>
      <c r="H26" s="5">
        <f t="shared" si="8"/>
        <v>98834.831375000009</v>
      </c>
      <c r="I26" s="5">
        <f t="shared" si="8"/>
        <v>105401.26961875001</v>
      </c>
      <c r="J26" s="5">
        <f t="shared" si="8"/>
        <v>116681.29177709375</v>
      </c>
      <c r="K26" s="5">
        <f t="shared" si="8"/>
        <v>127702.00286344373</v>
      </c>
      <c r="L26" s="5">
        <f t="shared" si="8"/>
        <v>141202.01751702087</v>
      </c>
      <c r="M26" s="5">
        <f t="shared" si="8"/>
        <v>156167.91149460309</v>
      </c>
      <c r="N26" s="5">
        <f t="shared" si="8"/>
        <v>173479.37581167853</v>
      </c>
      <c r="O26" s="6">
        <f t="shared" si="2"/>
        <v>1256627.9004575901</v>
      </c>
    </row>
    <row r="27" spans="1:15" x14ac:dyDescent="0.3">
      <c r="A27" s="11" t="s">
        <v>8</v>
      </c>
      <c r="B27" s="11"/>
      <c r="C27" s="11"/>
      <c r="D27" s="12">
        <f>D24-D25-D26</f>
        <v>952000</v>
      </c>
      <c r="E27" s="12">
        <f t="shared" ref="E27:N27" si="9">E24-E25-E26</f>
        <v>618800</v>
      </c>
      <c r="F27" s="12">
        <f t="shared" si="9"/>
        <v>865606</v>
      </c>
      <c r="G27" s="12">
        <f t="shared" si="9"/>
        <v>838854.8</v>
      </c>
      <c r="H27" s="12">
        <f t="shared" si="9"/>
        <v>960109.79049999989</v>
      </c>
      <c r="I27" s="12">
        <f t="shared" si="9"/>
        <v>1023898.0477250001</v>
      </c>
      <c r="J27" s="12">
        <f t="shared" si="9"/>
        <v>1133475.4058346248</v>
      </c>
      <c r="K27" s="12">
        <f t="shared" si="9"/>
        <v>1240533.7421020248</v>
      </c>
      <c r="L27" s="12">
        <f t="shared" si="9"/>
        <v>1371676.7415939169</v>
      </c>
      <c r="M27" s="12">
        <f t="shared" si="9"/>
        <v>1517059.7116618583</v>
      </c>
      <c r="N27" s="12">
        <f t="shared" si="9"/>
        <v>1685228.2221705911</v>
      </c>
      <c r="O27" s="6">
        <f t="shared" si="2"/>
        <v>12207242.461588016</v>
      </c>
    </row>
    <row r="28" spans="1:1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/>
    </row>
    <row r="29" spans="1:15" x14ac:dyDescent="0.3">
      <c r="A29" s="3" t="s">
        <v>9</v>
      </c>
      <c r="B29" s="3"/>
      <c r="C29" s="3"/>
      <c r="D29" s="5">
        <f>D20-D24</f>
        <v>3250000</v>
      </c>
      <c r="E29" s="5">
        <f>E20-E24</f>
        <v>2112500</v>
      </c>
      <c r="F29" s="5">
        <f>F20-F24</f>
        <v>2955062.5</v>
      </c>
      <c r="G29" s="5">
        <f t="shared" ref="G29:N29" si="10">G20-G24</f>
        <v>2863737.5</v>
      </c>
      <c r="H29" s="5">
        <f t="shared" si="10"/>
        <v>3277685.734375</v>
      </c>
      <c r="I29" s="5">
        <f t="shared" si="10"/>
        <v>3495450.2679687501</v>
      </c>
      <c r="J29" s="5">
        <f t="shared" si="10"/>
        <v>3869532.6354648434</v>
      </c>
      <c r="K29" s="5">
        <f t="shared" si="10"/>
        <v>4235015.4010835942</v>
      </c>
      <c r="L29" s="5">
        <f t="shared" si="10"/>
        <v>4682719.9686767124</v>
      </c>
      <c r="M29" s="5">
        <f t="shared" si="10"/>
        <v>5179037.881198572</v>
      </c>
      <c r="N29" s="8">
        <f t="shared" si="10"/>
        <v>5753142.5651832158</v>
      </c>
      <c r="O29" s="6"/>
    </row>
    <row r="30" spans="1:15" x14ac:dyDescent="0.3">
      <c r="A30" s="3" t="s">
        <v>10</v>
      </c>
      <c r="B30" s="3"/>
      <c r="C30" s="3"/>
      <c r="D30" s="5">
        <f>D25+D44</f>
        <v>973500</v>
      </c>
      <c r="E30" s="5">
        <f t="shared" ref="E30:M30" si="11">E25+E44</f>
        <v>580275</v>
      </c>
      <c r="F30" s="5">
        <f t="shared" si="11"/>
        <v>871542.375</v>
      </c>
      <c r="G30" s="5">
        <f t="shared" si="11"/>
        <v>839972.02500000014</v>
      </c>
      <c r="H30" s="5">
        <f t="shared" si="11"/>
        <v>983070.74540625</v>
      </c>
      <c r="I30" s="5">
        <f t="shared" si="11"/>
        <v>1058350.2695578125</v>
      </c>
      <c r="J30" s="5">
        <f t="shared" si="11"/>
        <v>1187667.6664445389</v>
      </c>
      <c r="K30" s="5">
        <f t="shared" si="11"/>
        <v>1314012.2471130514</v>
      </c>
      <c r="L30" s="5">
        <f t="shared" si="11"/>
        <v>1468780.2722487035</v>
      </c>
      <c r="M30" s="5">
        <f t="shared" si="11"/>
        <v>1640353.5567774137</v>
      </c>
      <c r="N30" s="8">
        <f>N25+N44</f>
        <v>1838817.1298410287</v>
      </c>
      <c r="O30" s="6">
        <f t="shared" si="2"/>
        <v>12756341.287388798</v>
      </c>
    </row>
    <row r="31" spans="1:15" x14ac:dyDescent="0.3">
      <c r="A31" s="3"/>
      <c r="B31" s="3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3"/>
      <c r="O31" s="6"/>
    </row>
    <row r="32" spans="1:15" x14ac:dyDescent="0.3">
      <c r="A32" s="3" t="s">
        <v>38</v>
      </c>
      <c r="B32" s="3"/>
      <c r="C32" s="5">
        <v>800000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f t="shared" si="2"/>
        <v>800000</v>
      </c>
    </row>
    <row r="33" spans="1:15" x14ac:dyDescent="0.3">
      <c r="A33" s="3" t="s">
        <v>13</v>
      </c>
      <c r="B33" s="5">
        <v>300000</v>
      </c>
      <c r="C33" s="5">
        <v>0</v>
      </c>
      <c r="D33" s="5">
        <f t="shared" ref="D33:N33" si="12">$B$33</f>
        <v>300000</v>
      </c>
      <c r="E33" s="5">
        <f t="shared" si="12"/>
        <v>300000</v>
      </c>
      <c r="F33" s="5">
        <f t="shared" si="12"/>
        <v>300000</v>
      </c>
      <c r="G33" s="5">
        <f t="shared" si="12"/>
        <v>300000</v>
      </c>
      <c r="H33" s="5">
        <f t="shared" si="12"/>
        <v>300000</v>
      </c>
      <c r="I33" s="5">
        <f t="shared" si="12"/>
        <v>300000</v>
      </c>
      <c r="J33" s="5">
        <f t="shared" si="12"/>
        <v>300000</v>
      </c>
      <c r="K33" s="5">
        <f t="shared" si="12"/>
        <v>300000</v>
      </c>
      <c r="L33" s="5">
        <f t="shared" si="12"/>
        <v>300000</v>
      </c>
      <c r="M33" s="5">
        <f t="shared" si="12"/>
        <v>300000</v>
      </c>
      <c r="N33" s="5">
        <f t="shared" si="12"/>
        <v>300000</v>
      </c>
      <c r="O33" s="6">
        <f t="shared" si="2"/>
        <v>3300000</v>
      </c>
    </row>
    <row r="34" spans="1:15" x14ac:dyDescent="0.3">
      <c r="A34" s="3" t="s">
        <v>15</v>
      </c>
      <c r="B34" s="3"/>
      <c r="C34" s="5">
        <f>C24*0.06</f>
        <v>0</v>
      </c>
      <c r="D34" s="5">
        <f t="shared" ref="D34:N34" si="13">D24*0.06</f>
        <v>105000</v>
      </c>
      <c r="E34" s="5">
        <f t="shared" si="13"/>
        <v>68250</v>
      </c>
      <c r="F34" s="5">
        <f t="shared" si="13"/>
        <v>95471.25</v>
      </c>
      <c r="G34" s="5">
        <f t="shared" si="13"/>
        <v>92520.75</v>
      </c>
      <c r="H34" s="5">
        <f t="shared" si="13"/>
        <v>105894.4621875</v>
      </c>
      <c r="I34" s="5">
        <f t="shared" si="13"/>
        <v>112929.93173437499</v>
      </c>
      <c r="J34" s="5">
        <f t="shared" si="13"/>
        <v>125015.66976117184</v>
      </c>
      <c r="K34" s="5">
        <f t="shared" si="13"/>
        <v>136823.57449654685</v>
      </c>
      <c r="L34" s="5">
        <f t="shared" si="13"/>
        <v>151287.87591109375</v>
      </c>
      <c r="M34" s="5">
        <f t="shared" si="13"/>
        <v>167322.76231564613</v>
      </c>
      <c r="N34" s="5">
        <f t="shared" si="13"/>
        <v>185870.75979822697</v>
      </c>
      <c r="O34" s="6">
        <f t="shared" si="2"/>
        <v>1346387.0362045604</v>
      </c>
    </row>
    <row r="35" spans="1:15" x14ac:dyDescent="0.3">
      <c r="A35" s="3" t="s">
        <v>14</v>
      </c>
      <c r="B35" s="3"/>
      <c r="C35" s="5">
        <v>0</v>
      </c>
      <c r="D35" s="5">
        <f>(D24-D25-D26-D33)*0.15</f>
        <v>97800</v>
      </c>
      <c r="E35" s="5">
        <f t="shared" ref="E35:N35" si="14">(E24-E25-E26-E33)*0.15</f>
        <v>47820</v>
      </c>
      <c r="F35" s="5">
        <f t="shared" si="14"/>
        <v>84840.9</v>
      </c>
      <c r="G35" s="5">
        <f t="shared" si="14"/>
        <v>80828.22</v>
      </c>
      <c r="H35" s="5">
        <f t="shared" si="14"/>
        <v>99016.468574999977</v>
      </c>
      <c r="I35" s="5">
        <f t="shared" si="14"/>
        <v>108584.70715875001</v>
      </c>
      <c r="J35" s="5">
        <f t="shared" si="14"/>
        <v>125021.31087519371</v>
      </c>
      <c r="K35" s="5">
        <f t="shared" si="14"/>
        <v>141080.06131530373</v>
      </c>
      <c r="L35" s="5">
        <f t="shared" si="14"/>
        <v>160751.51123908753</v>
      </c>
      <c r="M35" s="5">
        <f t="shared" si="14"/>
        <v>182558.95674927873</v>
      </c>
      <c r="N35" s="5">
        <f t="shared" si="14"/>
        <v>207784.23332558866</v>
      </c>
      <c r="O35" s="6">
        <f t="shared" si="2"/>
        <v>1336086.3692382025</v>
      </c>
    </row>
    <row r="36" spans="1:1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/>
    </row>
    <row r="37" spans="1:15" x14ac:dyDescent="0.3">
      <c r="A37" s="11" t="s">
        <v>17</v>
      </c>
      <c r="B37" s="11"/>
      <c r="C37" s="12">
        <f>C24-C25-C26-C33-C34</f>
        <v>0</v>
      </c>
      <c r="D37" s="12">
        <f t="shared" ref="D37:N37" si="15">D24-D25-D26-D33-D34</f>
        <v>547000</v>
      </c>
      <c r="E37" s="12">
        <f t="shared" si="15"/>
        <v>250550</v>
      </c>
      <c r="F37" s="12">
        <f t="shared" si="15"/>
        <v>470134.75</v>
      </c>
      <c r="G37" s="12">
        <f t="shared" si="15"/>
        <v>446334.05000000005</v>
      </c>
      <c r="H37" s="12">
        <f t="shared" si="15"/>
        <v>554215.32831249991</v>
      </c>
      <c r="I37" s="12">
        <f t="shared" si="15"/>
        <v>610968.11599062511</v>
      </c>
      <c r="J37" s="12">
        <f t="shared" si="15"/>
        <v>708459.73607345298</v>
      </c>
      <c r="K37" s="12">
        <f t="shared" si="15"/>
        <v>803710.16760547797</v>
      </c>
      <c r="L37" s="12">
        <f t="shared" si="15"/>
        <v>920388.86568282312</v>
      </c>
      <c r="M37" s="12">
        <f t="shared" si="15"/>
        <v>1049736.9493462122</v>
      </c>
      <c r="N37" s="12">
        <f t="shared" si="15"/>
        <v>1199357.4623723642</v>
      </c>
      <c r="O37" s="6">
        <f t="shared" si="2"/>
        <v>7560855.4253834561</v>
      </c>
    </row>
    <row r="38" spans="1:15" x14ac:dyDescent="0.3">
      <c r="A38" s="11" t="s">
        <v>18</v>
      </c>
      <c r="B38" s="11"/>
      <c r="C38" s="12">
        <f>C24-C25-C26-C33-C35</f>
        <v>0</v>
      </c>
      <c r="D38" s="12">
        <f t="shared" ref="D38:N38" si="16">D24-D25-D26-D33-D35</f>
        <v>554200</v>
      </c>
      <c r="E38" s="12">
        <f t="shared" si="16"/>
        <v>270980</v>
      </c>
      <c r="F38" s="12">
        <f t="shared" si="16"/>
        <v>480765.1</v>
      </c>
      <c r="G38" s="12">
        <f t="shared" si="16"/>
        <v>458026.58000000007</v>
      </c>
      <c r="H38" s="12">
        <f t="shared" si="16"/>
        <v>561093.32192499994</v>
      </c>
      <c r="I38" s="12">
        <f t="shared" si="16"/>
        <v>615313.34056625003</v>
      </c>
      <c r="J38" s="12">
        <f t="shared" si="16"/>
        <v>708454.0949594311</v>
      </c>
      <c r="K38" s="12">
        <f t="shared" si="16"/>
        <v>799453.68078672118</v>
      </c>
      <c r="L38" s="12">
        <f t="shared" si="16"/>
        <v>910925.23035482934</v>
      </c>
      <c r="M38" s="12">
        <f t="shared" si="16"/>
        <v>1034500.7549125795</v>
      </c>
      <c r="N38" s="12">
        <f t="shared" si="16"/>
        <v>1177443.9888450024</v>
      </c>
      <c r="O38" s="6">
        <f t="shared" si="2"/>
        <v>7571156.0923498143</v>
      </c>
    </row>
    <row r="39" spans="1: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3" t="s">
        <v>19</v>
      </c>
      <c r="B40" s="3"/>
      <c r="C40" s="5">
        <f>C37</f>
        <v>0</v>
      </c>
      <c r="D40" s="5">
        <f>C40+D37</f>
        <v>547000</v>
      </c>
      <c r="E40" s="5">
        <f t="shared" ref="E40:N40" si="17">D40+E37</f>
        <v>797550</v>
      </c>
      <c r="F40" s="5">
        <f t="shared" si="17"/>
        <v>1267684.75</v>
      </c>
      <c r="G40" s="5">
        <f t="shared" si="17"/>
        <v>1714018.8</v>
      </c>
      <c r="H40" s="5">
        <f t="shared" si="17"/>
        <v>2268234.1283125002</v>
      </c>
      <c r="I40" s="5">
        <f t="shared" si="17"/>
        <v>2879202.2443031254</v>
      </c>
      <c r="J40" s="5">
        <f t="shared" si="17"/>
        <v>3587661.9803765784</v>
      </c>
      <c r="K40" s="5">
        <f t="shared" si="17"/>
        <v>4391372.1479820563</v>
      </c>
      <c r="L40" s="5">
        <f t="shared" si="17"/>
        <v>5311761.0136648789</v>
      </c>
      <c r="M40" s="5">
        <f t="shared" si="17"/>
        <v>6361497.9630110916</v>
      </c>
      <c r="N40" s="5">
        <f t="shared" si="17"/>
        <v>7560855.4253834561</v>
      </c>
      <c r="O40" s="3"/>
    </row>
    <row r="41" spans="1: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3">
      <c r="A42" s="3" t="s">
        <v>20</v>
      </c>
      <c r="B42" s="9">
        <v>0.3</v>
      </c>
      <c r="C42" s="3"/>
      <c r="D42" s="5">
        <f>(D37+C37)*B42</f>
        <v>164100</v>
      </c>
      <c r="E42" s="5">
        <f>E37*$B$42</f>
        <v>75165</v>
      </c>
      <c r="F42" s="5">
        <f t="shared" ref="F42:N42" si="18">F37*$B$42</f>
        <v>141040.42499999999</v>
      </c>
      <c r="G42" s="5">
        <f t="shared" si="18"/>
        <v>133900.215</v>
      </c>
      <c r="H42" s="5">
        <f t="shared" si="18"/>
        <v>166264.59849374997</v>
      </c>
      <c r="I42" s="5">
        <f t="shared" si="18"/>
        <v>183290.43479718754</v>
      </c>
      <c r="J42" s="5">
        <f t="shared" si="18"/>
        <v>212537.9208220359</v>
      </c>
      <c r="K42" s="5">
        <f t="shared" si="18"/>
        <v>241113.05028164337</v>
      </c>
      <c r="L42" s="5">
        <f t="shared" si="18"/>
        <v>276116.65970484691</v>
      </c>
      <c r="M42" s="5">
        <f t="shared" si="18"/>
        <v>314921.08480386366</v>
      </c>
      <c r="N42" s="5">
        <f t="shared" si="18"/>
        <v>359807.23871170927</v>
      </c>
      <c r="O42" s="5">
        <f>N40*$B$42</f>
        <v>2268256.6276150369</v>
      </c>
    </row>
    <row r="43" spans="1:15" x14ac:dyDescent="0.3">
      <c r="A43" s="3" t="s">
        <v>22</v>
      </c>
      <c r="B43" s="9">
        <v>0.2</v>
      </c>
      <c r="C43" s="3"/>
      <c r="D43" s="5">
        <f>(D37+C37)*B43</f>
        <v>109400</v>
      </c>
      <c r="E43" s="5">
        <f>E37*$B$43</f>
        <v>50110</v>
      </c>
      <c r="F43" s="5">
        <f t="shared" ref="F43:O43" si="19">F37*$B$43</f>
        <v>94026.950000000012</v>
      </c>
      <c r="G43" s="5">
        <f t="shared" si="19"/>
        <v>89266.810000000012</v>
      </c>
      <c r="H43" s="5">
        <f t="shared" si="19"/>
        <v>110843.06566249998</v>
      </c>
      <c r="I43" s="5">
        <f t="shared" si="19"/>
        <v>122193.62319812503</v>
      </c>
      <c r="J43" s="5">
        <f t="shared" si="19"/>
        <v>141691.94721469059</v>
      </c>
      <c r="K43" s="5">
        <f t="shared" si="19"/>
        <v>160742.03352109561</v>
      </c>
      <c r="L43" s="5">
        <f t="shared" si="19"/>
        <v>184077.77313656465</v>
      </c>
      <c r="M43" s="5">
        <f t="shared" si="19"/>
        <v>209947.38986924244</v>
      </c>
      <c r="N43" s="5">
        <f t="shared" si="19"/>
        <v>239871.49247447285</v>
      </c>
      <c r="O43" s="5">
        <f t="shared" si="19"/>
        <v>1512171.0850766913</v>
      </c>
    </row>
    <row r="44" spans="1:15" ht="28.8" x14ac:dyDescent="0.3">
      <c r="A44" s="15" t="s">
        <v>33</v>
      </c>
      <c r="B44" s="3"/>
      <c r="C44" s="3"/>
      <c r="D44" s="5">
        <f>(D37+C37)-D42-D43</f>
        <v>273500</v>
      </c>
      <c r="E44" s="5">
        <f t="shared" ref="E44:N44" si="20">E37-E42-E43</f>
        <v>125275</v>
      </c>
      <c r="F44" s="5">
        <f t="shared" si="20"/>
        <v>235067.375</v>
      </c>
      <c r="G44" s="5">
        <f t="shared" si="20"/>
        <v>223167.02500000008</v>
      </c>
      <c r="H44" s="5">
        <f t="shared" si="20"/>
        <v>277107.66415624996</v>
      </c>
      <c r="I44" s="5">
        <f t="shared" si="20"/>
        <v>305484.0579953125</v>
      </c>
      <c r="J44" s="5">
        <f t="shared" si="20"/>
        <v>354229.86803672649</v>
      </c>
      <c r="K44" s="5">
        <f t="shared" si="20"/>
        <v>401855.08380273893</v>
      </c>
      <c r="L44" s="5">
        <f t="shared" si="20"/>
        <v>460194.43284141156</v>
      </c>
      <c r="M44" s="5">
        <f t="shared" si="20"/>
        <v>524868.4746731061</v>
      </c>
      <c r="N44" s="5">
        <f t="shared" si="20"/>
        <v>599678.73118618212</v>
      </c>
      <c r="O44" s="3"/>
    </row>
    <row r="46" spans="1:15" x14ac:dyDescent="0.3">
      <c r="A46" t="s">
        <v>31</v>
      </c>
      <c r="C46" s="1">
        <f>SUM(C47:C48)</f>
        <v>2800000</v>
      </c>
    </row>
    <row r="47" spans="1:15" x14ac:dyDescent="0.3">
      <c r="A47" t="s">
        <v>32</v>
      </c>
      <c r="C47" s="1">
        <f>B9</f>
        <v>2000000</v>
      </c>
    </row>
    <row r="48" spans="1:15" x14ac:dyDescent="0.3">
      <c r="A48" t="str">
        <f>A7</f>
        <v>Оплата УК</v>
      </c>
      <c r="C48" s="1">
        <f>B7</f>
        <v>800000</v>
      </c>
    </row>
    <row r="49" spans="1:14" x14ac:dyDescent="0.3">
      <c r="A49" t="s">
        <v>26</v>
      </c>
      <c r="C49" s="1">
        <f>IF(C50&lt;0,-1*C50,0)</f>
        <v>0</v>
      </c>
      <c r="D49" s="1">
        <f t="shared" ref="D49:N49" si="21">IF(D50&lt;0,-1*D50,0)</f>
        <v>0</v>
      </c>
      <c r="E49" s="1">
        <f t="shared" si="21"/>
        <v>0</v>
      </c>
      <c r="F49" s="1">
        <f t="shared" si="21"/>
        <v>0</v>
      </c>
      <c r="G49" s="1">
        <f t="shared" si="21"/>
        <v>0</v>
      </c>
      <c r="H49" s="1">
        <f t="shared" si="21"/>
        <v>0</v>
      </c>
      <c r="I49" s="1">
        <f t="shared" si="21"/>
        <v>0</v>
      </c>
      <c r="J49" s="1">
        <f t="shared" si="21"/>
        <v>0</v>
      </c>
      <c r="K49" s="1">
        <f t="shared" si="21"/>
        <v>0</v>
      </c>
      <c r="L49" s="1">
        <f t="shared" si="21"/>
        <v>0</v>
      </c>
      <c r="M49" s="1">
        <f t="shared" si="21"/>
        <v>0</v>
      </c>
      <c r="N49" s="1">
        <f t="shared" si="21"/>
        <v>0</v>
      </c>
    </row>
    <row r="50" spans="1:14" x14ac:dyDescent="0.3">
      <c r="A50" t="s">
        <v>30</v>
      </c>
      <c r="C50" s="1">
        <f>C46-C32-C17+C24+C30+C44-C25-C26-C33-C34</f>
        <v>0</v>
      </c>
      <c r="D50" s="1">
        <f t="shared" ref="D50:N50" si="22">D46-D17+D24+C30+D44-D25-D26-D33-D34</f>
        <v>820500</v>
      </c>
      <c r="E50" s="1">
        <f t="shared" si="22"/>
        <v>375825</v>
      </c>
      <c r="F50" s="1">
        <f t="shared" si="22"/>
        <v>705202.125</v>
      </c>
      <c r="G50" s="1">
        <f t="shared" si="22"/>
        <v>669501.07500000019</v>
      </c>
      <c r="H50" s="1">
        <f t="shared" si="22"/>
        <v>831322.99246874987</v>
      </c>
      <c r="I50" s="1">
        <f t="shared" si="22"/>
        <v>916452.17398593738</v>
      </c>
      <c r="J50" s="1">
        <f t="shared" si="22"/>
        <v>1062689.6041101797</v>
      </c>
      <c r="K50" s="1">
        <f t="shared" si="22"/>
        <v>1205565.2514082168</v>
      </c>
      <c r="L50" s="1">
        <f t="shared" si="22"/>
        <v>1380583.2985242344</v>
      </c>
      <c r="M50" s="1">
        <f t="shared" si="22"/>
        <v>1574605.4240193181</v>
      </c>
      <c r="N50" s="1">
        <f t="shared" si="22"/>
        <v>1799036.1935585467</v>
      </c>
    </row>
    <row r="51" spans="1:14" x14ac:dyDescent="0.3">
      <c r="E5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ФМ + реинвестирование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Конко</dc:creator>
  <cp:lastModifiedBy>Пользователь</cp:lastModifiedBy>
  <dcterms:created xsi:type="dcterms:W3CDTF">2022-09-28T02:49:39Z</dcterms:created>
  <dcterms:modified xsi:type="dcterms:W3CDTF">2022-09-29T14:22:25Z</dcterms:modified>
</cp:coreProperties>
</file>