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Андрей\Desktop\Предложение для инвестора\"/>
    </mc:Choice>
  </mc:AlternateContent>
  <xr:revisionPtr revIDLastSave="0" documentId="13_ncr:1_{213070F7-397D-4E9A-9CBA-771EEA3F103F}" xr6:coauthVersionLast="47" xr6:coauthVersionMax="47" xr10:uidLastSave="{00000000-0000-0000-0000-000000000000}"/>
  <bookViews>
    <workbookView xWindow="-120" yWindow="-120" windowWidth="20640" windowHeight="11160" activeTab="2" xr2:uid="{00000000-000D-0000-FFFF-FFFF00000000}"/>
  </bookViews>
  <sheets>
    <sheet name="1 розничный магазин" sheetId="1" r:id="rId1"/>
    <sheet name="Маркетплейс" sheetId="2" r:id="rId2"/>
    <sheet name="Фин.модель общая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3" l="1"/>
  <c r="I9" i="3"/>
  <c r="J9" i="3"/>
  <c r="K9" i="3"/>
  <c r="L9" i="3"/>
  <c r="M9" i="3"/>
  <c r="G9" i="3"/>
  <c r="F9" i="3"/>
  <c r="E9" i="3"/>
  <c r="I14" i="3"/>
  <c r="J14" i="3"/>
  <c r="K14" i="3"/>
  <c r="L14" i="3"/>
  <c r="M14" i="3"/>
  <c r="H14" i="3"/>
  <c r="G14" i="3"/>
  <c r="F14" i="3"/>
  <c r="E14" i="3"/>
  <c r="D9" i="3"/>
  <c r="E10" i="3"/>
  <c r="F10" i="3"/>
  <c r="G10" i="3"/>
  <c r="H10" i="3"/>
  <c r="I10" i="3"/>
  <c r="J10" i="3"/>
  <c r="K10" i="3"/>
  <c r="L10" i="3"/>
  <c r="M10" i="3"/>
  <c r="D10" i="3"/>
  <c r="D14" i="3"/>
  <c r="F15" i="3"/>
  <c r="G15" i="3"/>
  <c r="H15" i="3"/>
  <c r="I15" i="3"/>
  <c r="J15" i="3"/>
  <c r="K15" i="3"/>
  <c r="L15" i="3"/>
  <c r="M15" i="3"/>
  <c r="E15" i="3"/>
  <c r="D15" i="3"/>
  <c r="C10" i="3"/>
  <c r="C9" i="3"/>
  <c r="C15" i="3"/>
  <c r="C14" i="3"/>
  <c r="B15" i="3"/>
  <c r="B14" i="3"/>
  <c r="G7" i="3"/>
  <c r="B10" i="3"/>
  <c r="O10" i="3" s="1"/>
  <c r="B9" i="3"/>
  <c r="F5" i="3"/>
  <c r="E5" i="3"/>
  <c r="D5" i="3"/>
  <c r="C5" i="3"/>
  <c r="B5" i="3"/>
  <c r="O21" i="3"/>
  <c r="C3" i="3"/>
  <c r="D3" i="3" s="1"/>
  <c r="E3" i="3" s="1"/>
  <c r="F3" i="3" s="1"/>
  <c r="G3" i="3" s="1"/>
  <c r="H3" i="3" s="1"/>
  <c r="I3" i="3" s="1"/>
  <c r="J3" i="3" s="1"/>
  <c r="K3" i="3" s="1"/>
  <c r="L3" i="3" s="1"/>
  <c r="M3" i="3" s="1"/>
  <c r="O36" i="2"/>
  <c r="C29" i="2"/>
  <c r="B29" i="2"/>
  <c r="D28" i="2"/>
  <c r="C27" i="2"/>
  <c r="F26" i="2"/>
  <c r="E26" i="2"/>
  <c r="D26" i="2"/>
  <c r="O25" i="2"/>
  <c r="O24" i="2"/>
  <c r="D23" i="2"/>
  <c r="O22" i="2"/>
  <c r="C21" i="2"/>
  <c r="B21" i="2"/>
  <c r="C20" i="2"/>
  <c r="B20" i="2"/>
  <c r="M19" i="2"/>
  <c r="L19" i="2"/>
  <c r="K19" i="2"/>
  <c r="J19" i="2"/>
  <c r="I19" i="2"/>
  <c r="H19" i="2"/>
  <c r="G19" i="2"/>
  <c r="F19" i="2"/>
  <c r="E19" i="2"/>
  <c r="D19" i="2"/>
  <c r="C19" i="2"/>
  <c r="B19" i="2"/>
  <c r="C18" i="2"/>
  <c r="B18" i="2"/>
  <c r="M15" i="2"/>
  <c r="L15" i="2"/>
  <c r="K15" i="2"/>
  <c r="J15" i="2"/>
  <c r="I15" i="2"/>
  <c r="H15" i="2"/>
  <c r="G15" i="2"/>
  <c r="F15" i="2"/>
  <c r="E15" i="2"/>
  <c r="D15" i="2"/>
  <c r="C15" i="2"/>
  <c r="B15" i="2"/>
  <c r="D14" i="2"/>
  <c r="E14" i="2" s="1"/>
  <c r="C14" i="2"/>
  <c r="D13" i="2"/>
  <c r="C13" i="2"/>
  <c r="B13" i="2"/>
  <c r="B7" i="2" s="1"/>
  <c r="C12" i="2"/>
  <c r="B12" i="2"/>
  <c r="E11" i="2"/>
  <c r="E13" i="2" s="1"/>
  <c r="D11" i="2"/>
  <c r="D20" i="2" s="1"/>
  <c r="E10" i="2"/>
  <c r="E21" i="2" s="1"/>
  <c r="D10" i="2"/>
  <c r="D7" i="2" s="1"/>
  <c r="D8" i="2"/>
  <c r="D12" i="2" s="1"/>
  <c r="C7" i="2"/>
  <c r="C17" i="2" s="1"/>
  <c r="C3" i="2"/>
  <c r="D3" i="2" s="1"/>
  <c r="E3" i="2" s="1"/>
  <c r="F3" i="2" s="1"/>
  <c r="G3" i="2" s="1"/>
  <c r="H3" i="2" s="1"/>
  <c r="I3" i="2" s="1"/>
  <c r="J3" i="2" s="1"/>
  <c r="K3" i="2" s="1"/>
  <c r="L3" i="2" s="1"/>
  <c r="M3" i="2" s="1"/>
  <c r="M7" i="3" l="1"/>
  <c r="I7" i="3"/>
  <c r="O15" i="3"/>
  <c r="D7" i="3"/>
  <c r="E7" i="3"/>
  <c r="H7" i="3"/>
  <c r="B7" i="3"/>
  <c r="F7" i="3"/>
  <c r="K7" i="3"/>
  <c r="L7" i="3"/>
  <c r="J7" i="3"/>
  <c r="O14" i="3"/>
  <c r="C7" i="3"/>
  <c r="C12" i="3"/>
  <c r="F14" i="2"/>
  <c r="G14" i="2" s="1"/>
  <c r="H14" i="2" s="1"/>
  <c r="I14" i="2" s="1"/>
  <c r="J14" i="2" s="1"/>
  <c r="K14" i="2" s="1"/>
  <c r="L14" i="2" s="1"/>
  <c r="M14" i="2" s="1"/>
  <c r="E7" i="2"/>
  <c r="B17" i="2"/>
  <c r="B30" i="2"/>
  <c r="D30" i="2"/>
  <c r="D17" i="2"/>
  <c r="E20" i="2"/>
  <c r="D21" i="2"/>
  <c r="G26" i="2"/>
  <c r="H26" i="2" s="1"/>
  <c r="I26" i="2" s="1"/>
  <c r="J26" i="2" s="1"/>
  <c r="K26" i="2" s="1"/>
  <c r="L26" i="2" s="1"/>
  <c r="M26" i="2" s="1"/>
  <c r="E8" i="2"/>
  <c r="F8" i="2" s="1"/>
  <c r="G8" i="2" s="1"/>
  <c r="H8" i="2" s="1"/>
  <c r="I8" i="2" s="1"/>
  <c r="J8" i="2" s="1"/>
  <c r="K8" i="2" s="1"/>
  <c r="L8" i="2" s="1"/>
  <c r="M8" i="2" s="1"/>
  <c r="F10" i="2"/>
  <c r="D18" i="2"/>
  <c r="E23" i="2"/>
  <c r="F23" i="2" s="1"/>
  <c r="G23" i="2" s="1"/>
  <c r="H23" i="2" s="1"/>
  <c r="I23" i="2" s="1"/>
  <c r="J23" i="2" s="1"/>
  <c r="K23" i="2" s="1"/>
  <c r="L23" i="2" s="1"/>
  <c r="M23" i="2" s="1"/>
  <c r="D27" i="2"/>
  <c r="E28" i="2"/>
  <c r="F28" i="2" s="1"/>
  <c r="G28" i="2" s="1"/>
  <c r="H28" i="2" s="1"/>
  <c r="I28" i="2" s="1"/>
  <c r="J28" i="2" s="1"/>
  <c r="K28" i="2" s="1"/>
  <c r="L28" i="2" s="1"/>
  <c r="M28" i="2" s="1"/>
  <c r="D29" i="2"/>
  <c r="C30" i="2"/>
  <c r="C16" i="2" s="1"/>
  <c r="C32" i="2" s="1"/>
  <c r="C33" i="2" s="1"/>
  <c r="O8" i="2"/>
  <c r="E18" i="2"/>
  <c r="E27" i="2"/>
  <c r="E29" i="2"/>
  <c r="F11" i="2"/>
  <c r="E12" i="2"/>
  <c r="C17" i="3" l="1"/>
  <c r="C18" i="3" s="1"/>
  <c r="E12" i="3"/>
  <c r="E17" i="3" s="1"/>
  <c r="E18" i="3" s="1"/>
  <c r="D12" i="3"/>
  <c r="D17" i="3" s="1"/>
  <c r="D18" i="3" s="1"/>
  <c r="O9" i="3"/>
  <c r="B12" i="3"/>
  <c r="D16" i="2"/>
  <c r="D32" i="2" s="1"/>
  <c r="D33" i="2" s="1"/>
  <c r="O23" i="2"/>
  <c r="O26" i="2"/>
  <c r="F29" i="2"/>
  <c r="F27" i="2"/>
  <c r="F18" i="2"/>
  <c r="F20" i="2"/>
  <c r="F13" i="2"/>
  <c r="F12" i="2"/>
  <c r="G11" i="2"/>
  <c r="F21" i="2"/>
  <c r="G10" i="2"/>
  <c r="B16" i="2"/>
  <c r="E30" i="2"/>
  <c r="E17" i="2"/>
  <c r="E16" i="2" s="1"/>
  <c r="E32" i="2" s="1"/>
  <c r="E33" i="2" s="1"/>
  <c r="O14" i="2"/>
  <c r="O28" i="2"/>
  <c r="F12" i="3" l="1"/>
  <c r="F17" i="3" s="1"/>
  <c r="F18" i="3" s="1"/>
  <c r="B17" i="3"/>
  <c r="G21" i="2"/>
  <c r="H10" i="2"/>
  <c r="F7" i="2"/>
  <c r="B5" i="2"/>
  <c r="B32" i="2"/>
  <c r="G20" i="2"/>
  <c r="G13" i="2"/>
  <c r="G7" i="2" s="1"/>
  <c r="G12" i="2"/>
  <c r="H11" i="2"/>
  <c r="G29" i="2"/>
  <c r="G27" i="2"/>
  <c r="G18" i="2"/>
  <c r="B22" i="3" l="1"/>
  <c r="C21" i="3" s="1"/>
  <c r="C22" i="3" s="1"/>
  <c r="D21" i="3" s="1"/>
  <c r="D22" i="3" s="1"/>
  <c r="E21" i="3" s="1"/>
  <c r="E22" i="3" s="1"/>
  <c r="F21" i="3" s="1"/>
  <c r="F22" i="3" s="1"/>
  <c r="G21" i="3" s="1"/>
  <c r="O5" i="3"/>
  <c r="B18" i="3"/>
  <c r="H20" i="2"/>
  <c r="H13" i="2"/>
  <c r="H7" i="2" s="1"/>
  <c r="H12" i="2"/>
  <c r="I11" i="2"/>
  <c r="H29" i="2"/>
  <c r="H27" i="2"/>
  <c r="H18" i="2"/>
  <c r="B33" i="2"/>
  <c r="F17" i="2"/>
  <c r="F30" i="2"/>
  <c r="B37" i="2"/>
  <c r="C36" i="2" s="1"/>
  <c r="C37" i="2" s="1"/>
  <c r="D36" i="2" s="1"/>
  <c r="D37" i="2" s="1"/>
  <c r="E36" i="2" s="1"/>
  <c r="E37" i="2" s="1"/>
  <c r="F36" i="2" s="1"/>
  <c r="O5" i="2"/>
  <c r="H21" i="2"/>
  <c r="I10" i="2"/>
  <c r="G17" i="2"/>
  <c r="G16" i="2" s="1"/>
  <c r="G32" i="2" s="1"/>
  <c r="G33" i="2" s="1"/>
  <c r="G30" i="2"/>
  <c r="G12" i="3" l="1"/>
  <c r="F16" i="2"/>
  <c r="H30" i="2"/>
  <c r="H17" i="2"/>
  <c r="H16" i="2" s="1"/>
  <c r="H32" i="2" s="1"/>
  <c r="H33" i="2" s="1"/>
  <c r="I21" i="2"/>
  <c r="J10" i="2"/>
  <c r="I13" i="2"/>
  <c r="I7" i="2" s="1"/>
  <c r="I12" i="2"/>
  <c r="J11" i="2"/>
  <c r="I29" i="2"/>
  <c r="I27" i="2"/>
  <c r="I18" i="2"/>
  <c r="I20" i="2"/>
  <c r="I12" i="3" l="1"/>
  <c r="I17" i="3" s="1"/>
  <c r="I18" i="3" s="1"/>
  <c r="G17" i="3"/>
  <c r="I30" i="2"/>
  <c r="I17" i="2"/>
  <c r="F32" i="2"/>
  <c r="J29" i="2"/>
  <c r="J27" i="2"/>
  <c r="J18" i="2"/>
  <c r="J20" i="2"/>
  <c r="J13" i="2"/>
  <c r="J12" i="2"/>
  <c r="K11" i="2"/>
  <c r="J21" i="2"/>
  <c r="K10" i="2"/>
  <c r="G18" i="3" l="1"/>
  <c r="G22" i="3"/>
  <c r="H21" i="3" s="1"/>
  <c r="H12" i="3"/>
  <c r="K21" i="2"/>
  <c r="L10" i="2"/>
  <c r="J7" i="2"/>
  <c r="F33" i="2"/>
  <c r="F37" i="2"/>
  <c r="G36" i="2" s="1"/>
  <c r="G37" i="2" s="1"/>
  <c r="H36" i="2" s="1"/>
  <c r="H37" i="2" s="1"/>
  <c r="I36" i="2" s="1"/>
  <c r="I16" i="2"/>
  <c r="K20" i="2"/>
  <c r="K13" i="2"/>
  <c r="K7" i="2" s="1"/>
  <c r="K12" i="2"/>
  <c r="L11" i="2"/>
  <c r="K29" i="2"/>
  <c r="K27" i="2"/>
  <c r="K18" i="2"/>
  <c r="H17" i="3" l="1"/>
  <c r="H22" i="3" s="1"/>
  <c r="I21" i="3" s="1"/>
  <c r="I22" i="3" s="1"/>
  <c r="J21" i="3" s="1"/>
  <c r="K12" i="3"/>
  <c r="K17" i="3" s="1"/>
  <c r="K18" i="3" s="1"/>
  <c r="J17" i="2"/>
  <c r="J30" i="2"/>
  <c r="I32" i="2"/>
  <c r="L21" i="2"/>
  <c r="M10" i="2"/>
  <c r="M21" i="2" s="1"/>
  <c r="K17" i="2"/>
  <c r="K30" i="2"/>
  <c r="L20" i="2"/>
  <c r="L13" i="2"/>
  <c r="L7" i="2" s="1"/>
  <c r="L12" i="2"/>
  <c r="M11" i="2"/>
  <c r="L29" i="2"/>
  <c r="L27" i="2"/>
  <c r="L18" i="2"/>
  <c r="L12" i="3" l="1"/>
  <c r="L17" i="3" s="1"/>
  <c r="L18" i="3" s="1"/>
  <c r="J12" i="3"/>
  <c r="H18" i="3"/>
  <c r="M13" i="2"/>
  <c r="M12" i="2"/>
  <c r="M29" i="2"/>
  <c r="O29" i="2" s="1"/>
  <c r="M27" i="2"/>
  <c r="O27" i="2" s="1"/>
  <c r="M18" i="2"/>
  <c r="O18" i="2" s="1"/>
  <c r="O19" i="2" s="1"/>
  <c r="O20" i="2" s="1"/>
  <c r="O21" i="2" s="1"/>
  <c r="M20" i="2"/>
  <c r="O11" i="2"/>
  <c r="I33" i="2"/>
  <c r="L30" i="2"/>
  <c r="L17" i="2"/>
  <c r="L16" i="2" s="1"/>
  <c r="L32" i="2" s="1"/>
  <c r="L33" i="2" s="1"/>
  <c r="K16" i="2"/>
  <c r="K32" i="2" s="1"/>
  <c r="K33" i="2" s="1"/>
  <c r="J16" i="2"/>
  <c r="I37" i="2"/>
  <c r="J36" i="2" s="1"/>
  <c r="J17" i="3" l="1"/>
  <c r="J32" i="2"/>
  <c r="M7" i="2"/>
  <c r="O13" i="2"/>
  <c r="O7" i="3" l="1"/>
  <c r="J18" i="3"/>
  <c r="J22" i="3"/>
  <c r="K21" i="3" s="1"/>
  <c r="K22" i="3" s="1"/>
  <c r="L21" i="3" s="1"/>
  <c r="L22" i="3" s="1"/>
  <c r="M21" i="3" s="1"/>
  <c r="J33" i="2"/>
  <c r="M30" i="2"/>
  <c r="O30" i="2" s="1"/>
  <c r="M17" i="2"/>
  <c r="O7" i="2"/>
  <c r="J37" i="2"/>
  <c r="K36" i="2" s="1"/>
  <c r="K37" i="2" s="1"/>
  <c r="L36" i="2" s="1"/>
  <c r="L37" i="2" s="1"/>
  <c r="M36" i="2" s="1"/>
  <c r="M12" i="3" l="1"/>
  <c r="M16" i="2"/>
  <c r="O17" i="2"/>
  <c r="O12" i="3" l="1"/>
  <c r="M17" i="3"/>
  <c r="O16" i="2"/>
  <c r="M32" i="2"/>
  <c r="M18" i="3" l="1"/>
  <c r="O17" i="3"/>
  <c r="O18" i="3" s="1"/>
  <c r="M22" i="3"/>
  <c r="O22" i="3" s="1"/>
  <c r="M33" i="2"/>
  <c r="O32" i="2"/>
  <c r="O33" i="2" s="1"/>
  <c r="M37" i="2"/>
  <c r="O37" i="2" s="1"/>
  <c r="O25" i="1" l="1"/>
  <c r="B17" i="1"/>
  <c r="C17" i="1"/>
  <c r="D17" i="1"/>
  <c r="E17" i="1"/>
  <c r="F17" i="1"/>
  <c r="G17" i="1"/>
  <c r="H17" i="1"/>
  <c r="I17" i="1"/>
  <c r="J17" i="1"/>
  <c r="K17" i="1"/>
  <c r="L17" i="1"/>
  <c r="M17" i="1"/>
  <c r="D8" i="1"/>
  <c r="E8" i="1" s="1"/>
  <c r="F8" i="1" s="1"/>
  <c r="G8" i="1" s="1"/>
  <c r="H8" i="1" s="1"/>
  <c r="I8" i="1" s="1"/>
  <c r="J8" i="1" s="1"/>
  <c r="K8" i="1" s="1"/>
  <c r="L8" i="1" s="1"/>
  <c r="M8" i="1" s="1"/>
  <c r="D9" i="1"/>
  <c r="E9" i="1" s="1"/>
  <c r="F9" i="1" s="1"/>
  <c r="G9" i="1" s="1"/>
  <c r="H9" i="1" s="1"/>
  <c r="I9" i="1" s="1"/>
  <c r="J9" i="1" s="1"/>
  <c r="K9" i="1" s="1"/>
  <c r="L9" i="1" s="1"/>
  <c r="M9" i="1" s="1"/>
  <c r="C11" i="1"/>
  <c r="B11" i="1"/>
  <c r="B7" i="1" s="1"/>
  <c r="B15" i="1" s="1"/>
  <c r="C10" i="1"/>
  <c r="B10" i="1"/>
  <c r="M30" i="1"/>
  <c r="L30" i="1"/>
  <c r="K30" i="1"/>
  <c r="J30" i="1"/>
  <c r="I30" i="1"/>
  <c r="H30" i="1"/>
  <c r="G30" i="1"/>
  <c r="F30" i="1"/>
  <c r="E30" i="1"/>
  <c r="D30" i="1"/>
  <c r="C30" i="1"/>
  <c r="M29" i="1"/>
  <c r="L29" i="1"/>
  <c r="K29" i="1"/>
  <c r="J29" i="1"/>
  <c r="I29" i="1"/>
  <c r="H29" i="1"/>
  <c r="G29" i="1"/>
  <c r="F29" i="1"/>
  <c r="E29" i="1"/>
  <c r="D29" i="1"/>
  <c r="C29" i="1"/>
  <c r="O23" i="1"/>
  <c r="O37" i="1"/>
  <c r="C12" i="1"/>
  <c r="D12" i="1" s="1"/>
  <c r="E12" i="1" s="1"/>
  <c r="F12" i="1" s="1"/>
  <c r="G12" i="1" s="1"/>
  <c r="H12" i="1" s="1"/>
  <c r="I12" i="1" s="1"/>
  <c r="J12" i="1" s="1"/>
  <c r="K12" i="1" s="1"/>
  <c r="L12" i="1" s="1"/>
  <c r="M12" i="1" s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C7" i="1" l="1"/>
  <c r="C15" i="1" s="1"/>
  <c r="H11" i="1"/>
  <c r="H7" i="1" s="1"/>
  <c r="H15" i="1" s="1"/>
  <c r="J10" i="1"/>
  <c r="L11" i="1"/>
  <c r="L7" i="1" s="1"/>
  <c r="L15" i="1" s="1"/>
  <c r="F11" i="1"/>
  <c r="F7" i="1" s="1"/>
  <c r="F15" i="1" s="1"/>
  <c r="L10" i="1"/>
  <c r="F10" i="1"/>
  <c r="J11" i="1"/>
  <c r="J7" i="1" s="1"/>
  <c r="J15" i="1" s="1"/>
  <c r="O30" i="1"/>
  <c r="I10" i="1"/>
  <c r="E10" i="1"/>
  <c r="M11" i="1"/>
  <c r="M7" i="1" s="1"/>
  <c r="M15" i="1" s="1"/>
  <c r="I11" i="1"/>
  <c r="I7" i="1" s="1"/>
  <c r="I15" i="1" s="1"/>
  <c r="E11" i="1"/>
  <c r="E7" i="1" s="1"/>
  <c r="E15" i="1" s="1"/>
  <c r="D11" i="1"/>
  <c r="D7" i="1" s="1"/>
  <c r="D15" i="1" s="1"/>
  <c r="O29" i="1"/>
  <c r="H10" i="1"/>
  <c r="D10" i="1"/>
  <c r="K10" i="1"/>
  <c r="G10" i="1"/>
  <c r="K11" i="1"/>
  <c r="K7" i="1" s="1"/>
  <c r="K15" i="1" s="1"/>
  <c r="G11" i="1"/>
  <c r="G7" i="1" s="1"/>
  <c r="G15" i="1" s="1"/>
  <c r="M10" i="1"/>
  <c r="D27" i="1"/>
  <c r="E27" i="1" s="1"/>
  <c r="F27" i="1" s="1"/>
  <c r="G27" i="1" s="1"/>
  <c r="H27" i="1" s="1"/>
  <c r="I27" i="1" s="1"/>
  <c r="J27" i="1" s="1"/>
  <c r="K27" i="1" s="1"/>
  <c r="L27" i="1" s="1"/>
  <c r="M27" i="1" s="1"/>
  <c r="D24" i="1"/>
  <c r="E24" i="1" s="1"/>
  <c r="F24" i="1" s="1"/>
  <c r="G24" i="1" s="1"/>
  <c r="H24" i="1" s="1"/>
  <c r="I24" i="1" s="1"/>
  <c r="J24" i="1" s="1"/>
  <c r="K24" i="1" s="1"/>
  <c r="L24" i="1" s="1"/>
  <c r="M24" i="1" s="1"/>
  <c r="O12" i="1"/>
  <c r="O15" i="1" l="1"/>
  <c r="O16" i="1"/>
  <c r="B13" i="1"/>
  <c r="B33" i="1" s="1"/>
  <c r="O21" i="1"/>
  <c r="O27" i="1"/>
  <c r="O24" i="1"/>
  <c r="C13" i="1" l="1"/>
  <c r="C33" i="1" s="1"/>
  <c r="B34" i="1"/>
  <c r="B5" i="1"/>
  <c r="O5" i="1" s="1"/>
  <c r="C34" i="1" l="1"/>
  <c r="B38" i="1"/>
  <c r="C37" i="1" s="1"/>
  <c r="C38" i="1" s="1"/>
  <c r="D37" i="1" s="1"/>
  <c r="E13" i="1" l="1"/>
  <c r="E33" i="1" s="1"/>
  <c r="E34" i="1" s="1"/>
  <c r="D13" i="1"/>
  <c r="D33" i="1" s="1"/>
  <c r="D34" i="1" l="1"/>
  <c r="D38" i="1"/>
  <c r="E37" i="1" s="1"/>
  <c r="E38" i="1" s="1"/>
  <c r="F37" i="1" s="1"/>
  <c r="G13" i="1" l="1"/>
  <c r="G33" i="1" s="1"/>
  <c r="G34" i="1" s="1"/>
  <c r="F13" i="1"/>
  <c r="F33" i="1" s="1"/>
  <c r="F38" i="1" l="1"/>
  <c r="G37" i="1" s="1"/>
  <c r="G38" i="1" s="1"/>
  <c r="H37" i="1" s="1"/>
  <c r="F34" i="1"/>
  <c r="H13" i="1" l="1"/>
  <c r="H33" i="1" s="1"/>
  <c r="I13" i="1"/>
  <c r="I33" i="1" s="1"/>
  <c r="I34" i="1" s="1"/>
  <c r="H34" i="1" l="1"/>
  <c r="J13" i="1"/>
  <c r="J33" i="1" s="1"/>
  <c r="H38" i="1"/>
  <c r="I37" i="1" s="1"/>
  <c r="I38" i="1" s="1"/>
  <c r="J37" i="1" s="1"/>
  <c r="O20" i="1"/>
  <c r="O8" i="1"/>
  <c r="K13" i="1" l="1"/>
  <c r="K33" i="1" s="1"/>
  <c r="K34" i="1" s="1"/>
  <c r="O22" i="1"/>
  <c r="O26" i="1"/>
  <c r="O28" i="1"/>
  <c r="J38" i="1"/>
  <c r="K37" i="1" s="1"/>
  <c r="J34" i="1"/>
  <c r="L13" i="1" l="1"/>
  <c r="L33" i="1" s="1"/>
  <c r="L34" i="1" s="1"/>
  <c r="K38" i="1"/>
  <c r="L37" i="1" s="1"/>
  <c r="O11" i="1"/>
  <c r="L38" i="1" l="1"/>
  <c r="M37" i="1" s="1"/>
  <c r="O17" i="1"/>
  <c r="O18" i="1" s="1"/>
  <c r="O19" i="1" s="1"/>
  <c r="O31" i="1"/>
  <c r="O7" i="1"/>
  <c r="O14" i="1" l="1"/>
  <c r="M13" i="1"/>
  <c r="O13" i="1" l="1"/>
  <c r="M33" i="1"/>
  <c r="O33" i="1" s="1"/>
  <c r="O34" i="1" l="1"/>
  <c r="M38" i="1"/>
  <c r="O38" i="1" s="1"/>
  <c r="M3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7" authorId="0" shapeId="0" xr:uid="{00000000-0006-0000-0000-000001000000}">
      <text>
        <r>
          <rPr>
            <sz val="10"/>
            <color rgb="FF000000"/>
            <rFont val="Calibri"/>
            <scheme val="minor"/>
          </rPr>
          <t>Считаем, что работаем в белую и без льгот, поэтому берем 43% от суммы зарплаты.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9" authorId="0" shapeId="0" xr:uid="{6E5F000B-2E21-424B-A5AF-B866DAEDF9B2}">
      <text>
        <r>
          <rPr>
            <sz val="10"/>
            <color rgb="FF000000"/>
            <rFont val="Calibri"/>
            <scheme val="minor"/>
          </rPr>
          <t>Считаем, что работаем в белую и без льгот, поэтому берем 43% от суммы зарплаты.</t>
        </r>
      </text>
    </comment>
  </commentList>
</comments>
</file>

<file path=xl/sharedStrings.xml><?xml version="1.0" encoding="utf-8"?>
<sst xmlns="http://schemas.openxmlformats.org/spreadsheetml/2006/main" count="121" uniqueCount="76">
  <si>
    <t xml:space="preserve"> Месяцы</t>
  </si>
  <si>
    <t>Итого за год</t>
  </si>
  <si>
    <t xml:space="preserve"> </t>
  </si>
  <si>
    <t>Выручка</t>
  </si>
  <si>
    <r>
      <rPr>
        <b/>
        <sz val="10"/>
        <color theme="1"/>
        <rFont val="Arial"/>
      </rPr>
      <t xml:space="preserve">   </t>
    </r>
    <r>
      <rPr>
        <sz val="10"/>
        <color theme="1"/>
        <rFont val="Arial"/>
      </rPr>
      <t>Число оплат</t>
    </r>
  </si>
  <si>
    <t xml:space="preserve"> Расходы</t>
  </si>
  <si>
    <t xml:space="preserve">   Налоги на зарплату</t>
  </si>
  <si>
    <t xml:space="preserve"> Прибыль</t>
  </si>
  <si>
    <r>
      <rPr>
        <b/>
        <sz val="10"/>
        <color rgb="FF000000"/>
        <rFont val="Arial"/>
      </rPr>
      <t xml:space="preserve">   </t>
    </r>
    <r>
      <rPr>
        <sz val="10"/>
        <color rgb="FF000000"/>
        <rFont val="Arial"/>
      </rPr>
      <t>Рентабельность</t>
    </r>
  </si>
  <si>
    <t xml:space="preserve"> Остатки на счете</t>
  </si>
  <si>
    <r>
      <rPr>
        <b/>
        <sz val="10"/>
        <color rgb="FF000000"/>
        <rFont val="Arial"/>
      </rPr>
      <t xml:space="preserve">   </t>
    </r>
    <r>
      <rPr>
        <sz val="10"/>
        <color rgb="FF000000"/>
        <rFont val="Arial"/>
      </rPr>
      <t>Начало месяца</t>
    </r>
  </si>
  <si>
    <r>
      <rPr>
        <b/>
        <sz val="10"/>
        <color rgb="FF000000"/>
        <rFont val="Arial"/>
      </rPr>
      <t xml:space="preserve">   </t>
    </r>
    <r>
      <rPr>
        <sz val="10"/>
        <color rgb="FF000000"/>
        <rFont val="Arial"/>
      </rPr>
      <t>Конец месяца</t>
    </r>
  </si>
  <si>
    <t xml:space="preserve"> Вложения</t>
  </si>
  <si>
    <r>
      <rPr>
        <b/>
        <sz val="10"/>
        <color theme="1"/>
        <rFont val="Arial"/>
      </rPr>
      <t xml:space="preserve">   </t>
    </r>
    <r>
      <rPr>
        <sz val="10"/>
        <color theme="1"/>
        <rFont val="Arial"/>
      </rPr>
      <t>Зарплата оклад (2 менеджера)</t>
    </r>
  </si>
  <si>
    <r>
      <rPr>
        <b/>
        <sz val="10"/>
        <color theme="1"/>
        <rFont val="Arial"/>
      </rPr>
      <t xml:space="preserve">   </t>
    </r>
    <r>
      <rPr>
        <sz val="10"/>
        <color theme="1"/>
        <rFont val="Arial"/>
        <family val="2"/>
        <charset val="204"/>
      </rPr>
      <t>Процент с продаж (2 менеджера)</t>
    </r>
  </si>
  <si>
    <r>
      <rPr>
        <b/>
        <sz val="10"/>
        <color theme="1"/>
        <rFont val="Arial"/>
      </rPr>
      <t xml:space="preserve">   </t>
    </r>
    <r>
      <rPr>
        <sz val="10"/>
        <color theme="1"/>
        <rFont val="Arial"/>
        <family val="2"/>
        <charset val="204"/>
      </rPr>
      <t>Премиальная часть (мотивация)</t>
    </r>
  </si>
  <si>
    <r>
      <rPr>
        <b/>
        <sz val="10"/>
        <color rgb="FF000000"/>
        <rFont val="Arial"/>
      </rPr>
      <t xml:space="preserve">   </t>
    </r>
    <r>
      <rPr>
        <sz val="10"/>
        <color rgb="FF000000"/>
        <rFont val="Arial"/>
      </rPr>
      <t>Реклама</t>
    </r>
  </si>
  <si>
    <t xml:space="preserve">   Аренда помещения (100 кв.м.)</t>
  </si>
  <si>
    <t xml:space="preserve">   Комунальные платежи</t>
  </si>
  <si>
    <r>
      <rPr>
        <b/>
        <sz val="10"/>
        <color rgb="FF000000"/>
        <rFont val="Arial"/>
      </rPr>
      <t xml:space="preserve">   </t>
    </r>
    <r>
      <rPr>
        <sz val="10"/>
        <color rgb="FF000000"/>
        <rFont val="Arial"/>
      </rPr>
      <t>Хоз. Нужды</t>
    </r>
  </si>
  <si>
    <t xml:space="preserve">   Охрана</t>
  </si>
  <si>
    <r>
      <rPr>
        <b/>
        <sz val="10"/>
        <color rgb="FF000000"/>
        <rFont val="Arial"/>
      </rPr>
      <t xml:space="preserve">   </t>
    </r>
    <r>
      <rPr>
        <sz val="10"/>
        <color rgb="FF000000"/>
        <rFont val="Arial"/>
      </rPr>
      <t>Уборка помещения</t>
    </r>
  </si>
  <si>
    <r>
      <rPr>
        <b/>
        <sz val="10"/>
        <color rgb="FF000000"/>
        <rFont val="Arial"/>
      </rPr>
      <t xml:space="preserve">   </t>
    </r>
    <r>
      <rPr>
        <sz val="10"/>
        <color rgb="FF000000"/>
        <rFont val="Arial"/>
      </rPr>
      <t>Торгово-выставочное оборудование</t>
    </r>
  </si>
  <si>
    <r>
      <rPr>
        <b/>
        <sz val="10"/>
        <color rgb="FF000000"/>
        <rFont val="Arial"/>
      </rPr>
      <t xml:space="preserve">   </t>
    </r>
    <r>
      <rPr>
        <sz val="10"/>
        <color rgb="FF000000"/>
        <rFont val="Arial"/>
      </rPr>
      <t>Товар</t>
    </r>
  </si>
  <si>
    <r>
      <rPr>
        <b/>
        <sz val="10"/>
        <color rgb="FF000000"/>
        <rFont val="Arial"/>
      </rPr>
      <t xml:space="preserve">   </t>
    </r>
    <r>
      <rPr>
        <sz val="10"/>
        <color rgb="FF000000"/>
        <rFont val="Arial"/>
      </rPr>
      <t>Оргтехника, быт. техника</t>
    </r>
  </si>
  <si>
    <r>
      <rPr>
        <b/>
        <sz val="10"/>
        <color rgb="FF000000"/>
        <rFont val="Arial"/>
      </rPr>
      <t xml:space="preserve">   </t>
    </r>
    <r>
      <rPr>
        <sz val="10"/>
        <color rgb="FF000000"/>
        <rFont val="Arial"/>
      </rPr>
      <t>Оформление магазина + вывески</t>
    </r>
  </si>
  <si>
    <r>
      <rPr>
        <b/>
        <sz val="10"/>
        <color rgb="FF000000"/>
        <rFont val="Arial"/>
      </rPr>
      <t xml:space="preserve">   </t>
    </r>
    <r>
      <rPr>
        <sz val="10"/>
        <color rgb="FF000000"/>
        <rFont val="Arial"/>
      </rPr>
      <t>Форма сотрудников</t>
    </r>
  </si>
  <si>
    <r>
      <rPr>
        <b/>
        <sz val="10"/>
        <color rgb="FF000000"/>
        <rFont val="Arial"/>
      </rPr>
      <t xml:space="preserve">   </t>
    </r>
    <r>
      <rPr>
        <sz val="10"/>
        <color rgb="FF000000"/>
        <rFont val="Arial"/>
      </rPr>
      <t>Официальное открытие (мероприятие)</t>
    </r>
  </si>
  <si>
    <r>
      <rPr>
        <b/>
        <sz val="10"/>
        <color rgb="FF000000"/>
        <rFont val="Arial"/>
      </rPr>
      <t xml:space="preserve">   </t>
    </r>
    <r>
      <rPr>
        <sz val="10"/>
        <color rgb="FF000000"/>
        <rFont val="Arial"/>
      </rPr>
      <t>Депозит аренды</t>
    </r>
  </si>
  <si>
    <r>
      <rPr>
        <b/>
        <sz val="10"/>
        <color theme="1"/>
        <rFont val="Arial"/>
      </rPr>
      <t xml:space="preserve">   </t>
    </r>
    <r>
      <rPr>
        <sz val="10"/>
        <color theme="1"/>
        <rFont val="Arial"/>
      </rPr>
      <t>Число посетителей</t>
    </r>
  </si>
  <si>
    <r>
      <rPr>
        <b/>
        <sz val="10"/>
        <color theme="1"/>
        <rFont val="Arial"/>
      </rPr>
      <t xml:space="preserve">   </t>
    </r>
    <r>
      <rPr>
        <sz val="10"/>
        <color theme="1"/>
        <rFont val="Arial"/>
      </rPr>
      <t xml:space="preserve">Число заказов </t>
    </r>
  </si>
  <si>
    <r>
      <rPr>
        <b/>
        <sz val="10"/>
        <color theme="1"/>
        <rFont val="Arial"/>
      </rPr>
      <t xml:space="preserve">   </t>
    </r>
    <r>
      <rPr>
        <sz val="10"/>
        <color theme="1"/>
        <rFont val="Arial"/>
      </rPr>
      <t>Конверсия магазина, %</t>
    </r>
  </si>
  <si>
    <t xml:space="preserve">     Финансовая модель розничного магазина</t>
  </si>
  <si>
    <r>
      <t xml:space="preserve">Главное преимущество — </t>
    </r>
    <r>
      <rPr>
        <sz val="11"/>
        <color rgb="FF000000"/>
        <rFont val="Arial"/>
        <family val="2"/>
        <charset val="204"/>
      </rPr>
      <t>это высокая маржинальность или простыми словами разница между затратами и ценой продажи. На рынке сложилась ситуация, что люди готовы платить достаточно много за данный вид продукции. Спрос круглый год с небольшими перепадами.</t>
    </r>
  </si>
  <si>
    <t>Специфика товаров такова, что потребитель готов целенаправленно поехать в специализированный магазин для совершения покупки, если там ему предложат широкий актуальный ассортимент, адекватные цены и искренний сервис. Под сервисом следует понимать способность и желание компетентных консультантов выявить и удовлетворить настоящую потребность клиента, а также дать ему больше, чем тот ожидает.</t>
  </si>
  <si>
    <t>Розничные магазины Mirtolli</t>
  </si>
  <si>
    <t>Открытие 10 розничных магазинов по всей РФ. Финансовая модель посчитана в рамках одного магазина.</t>
  </si>
  <si>
    <t>Специализация нашей компании – это здоровый и комфортный сон наших клиентов, мы не просто продаем товары (матрасы, подушки, основания), а подбираем нашим клиентам – лучшие предложения на рынке.</t>
  </si>
  <si>
    <r>
      <rPr>
        <b/>
        <sz val="10"/>
        <color rgb="FF000000"/>
        <rFont val="Arial"/>
      </rPr>
      <t xml:space="preserve">   </t>
    </r>
    <r>
      <rPr>
        <sz val="10"/>
        <color rgb="FF000000"/>
        <rFont val="Arial"/>
        <family val="2"/>
        <charset val="204"/>
      </rPr>
      <t>Ремонт</t>
    </r>
  </si>
  <si>
    <r>
      <t xml:space="preserve">Моржинальность сотавляет - </t>
    </r>
    <r>
      <rPr>
        <b/>
        <sz val="11"/>
        <color theme="1"/>
        <rFont val="Arial"/>
        <family val="2"/>
        <charset val="204"/>
      </rPr>
      <t xml:space="preserve">100%. </t>
    </r>
    <r>
      <rPr>
        <sz val="11"/>
        <color theme="1"/>
        <rFont val="Arial"/>
        <family val="2"/>
        <charset val="204"/>
      </rPr>
      <t xml:space="preserve">За счет этого рентабильность проекта </t>
    </r>
    <r>
      <rPr>
        <b/>
        <sz val="11"/>
        <color theme="1"/>
        <rFont val="Arial"/>
        <family val="2"/>
        <charset val="204"/>
      </rPr>
      <t>увеличивается в 2 раза</t>
    </r>
    <r>
      <rPr>
        <sz val="11"/>
        <color theme="1"/>
        <rFont val="Arial"/>
        <family val="2"/>
        <charset val="204"/>
      </rPr>
      <t xml:space="preserve"> по сравнению со средней рентабильностью магазинов (конкурентов) с данным товаром. </t>
    </r>
  </si>
  <si>
    <r>
      <rPr>
        <b/>
        <sz val="10"/>
        <color theme="1"/>
        <rFont val="Arial"/>
      </rPr>
      <t xml:space="preserve">   </t>
    </r>
    <r>
      <rPr>
        <sz val="10"/>
        <color theme="1"/>
        <rFont val="Arial"/>
      </rPr>
      <t>Средний чек</t>
    </r>
  </si>
  <si>
    <t xml:space="preserve">     Финансовая модель интернет-магазина на Waildberries; Ozon; СберМаркет; ЯндексМаркет </t>
  </si>
  <si>
    <r>
      <rPr>
        <b/>
        <sz val="10"/>
        <color theme="1"/>
        <rFont val="Arial"/>
      </rPr>
      <t xml:space="preserve">   </t>
    </r>
    <r>
      <rPr>
        <sz val="10"/>
        <color theme="1"/>
        <rFont val="Arial"/>
      </rPr>
      <t>Число посетителей на карточку товара</t>
    </r>
  </si>
  <si>
    <r>
      <rPr>
        <b/>
        <sz val="10"/>
        <color theme="1"/>
        <rFont val="Arial"/>
      </rPr>
      <t xml:space="preserve">   </t>
    </r>
    <r>
      <rPr>
        <sz val="10"/>
        <color theme="1"/>
        <rFont val="Arial"/>
      </rPr>
      <t>Конверсия в заказ, %</t>
    </r>
  </si>
  <si>
    <r>
      <rPr>
        <b/>
        <sz val="10"/>
        <color theme="1"/>
        <rFont val="Arial"/>
      </rPr>
      <t xml:space="preserve">   </t>
    </r>
    <r>
      <rPr>
        <sz val="10"/>
        <color theme="1"/>
        <rFont val="Arial"/>
      </rPr>
      <t>Число заказов матрасов</t>
    </r>
  </si>
  <si>
    <r>
      <rPr>
        <b/>
        <sz val="10"/>
        <color theme="1"/>
        <rFont val="Arial"/>
      </rPr>
      <t xml:space="preserve">   </t>
    </r>
    <r>
      <rPr>
        <sz val="10"/>
        <color theme="1"/>
        <rFont val="Arial"/>
      </rPr>
      <t>Число заказов подушек</t>
    </r>
  </si>
  <si>
    <r>
      <rPr>
        <b/>
        <sz val="10"/>
        <color theme="1"/>
        <rFont val="Arial"/>
      </rPr>
      <t xml:space="preserve">   </t>
    </r>
    <r>
      <rPr>
        <sz val="10"/>
        <color theme="1"/>
        <rFont val="Arial"/>
      </rPr>
      <t>Конверсия в оплату, %</t>
    </r>
  </si>
  <si>
    <r>
      <rPr>
        <b/>
        <sz val="10"/>
        <color theme="1"/>
        <rFont val="Arial"/>
      </rPr>
      <t xml:space="preserve">   </t>
    </r>
    <r>
      <rPr>
        <sz val="10"/>
        <color theme="1"/>
        <rFont val="Arial"/>
      </rPr>
      <t>Средний чек подушки</t>
    </r>
  </si>
  <si>
    <t xml:space="preserve">   Средний чек матраса</t>
  </si>
  <si>
    <r>
      <rPr>
        <b/>
        <sz val="10"/>
        <color theme="1"/>
        <rFont val="Arial"/>
      </rPr>
      <t xml:space="preserve">   </t>
    </r>
    <r>
      <rPr>
        <sz val="10"/>
        <color theme="1"/>
        <rFont val="Arial"/>
      </rPr>
      <t>Зарплата офис</t>
    </r>
  </si>
  <si>
    <r>
      <rPr>
        <b/>
        <sz val="10"/>
        <color theme="1"/>
        <rFont val="Arial"/>
      </rPr>
      <t xml:space="preserve">   </t>
    </r>
    <r>
      <rPr>
        <sz val="10"/>
        <color theme="1"/>
        <rFont val="Arial"/>
      </rPr>
      <t>Зарплата производство</t>
    </r>
  </si>
  <si>
    <t xml:space="preserve">   Доставка подушек</t>
  </si>
  <si>
    <t xml:space="preserve">   Доставка матраса </t>
  </si>
  <si>
    <r>
      <rPr>
        <b/>
        <sz val="10"/>
        <color rgb="FF000000"/>
        <rFont val="Arial"/>
      </rPr>
      <t xml:space="preserve">   </t>
    </r>
    <r>
      <rPr>
        <sz val="10"/>
        <color rgb="FF000000"/>
        <rFont val="Arial"/>
      </rPr>
      <t>Маркетинг</t>
    </r>
  </si>
  <si>
    <r>
      <rPr>
        <b/>
        <sz val="10"/>
        <color rgb="FF000000"/>
        <rFont val="Arial"/>
      </rPr>
      <t xml:space="preserve">   </t>
    </r>
    <r>
      <rPr>
        <sz val="10"/>
        <color rgb="FF000000"/>
        <rFont val="Arial"/>
      </rPr>
      <t>Офис (рабочее место и оргтехника)</t>
    </r>
  </si>
  <si>
    <r>
      <rPr>
        <b/>
        <sz val="10"/>
        <color rgb="FF000000"/>
        <rFont val="Arial"/>
      </rPr>
      <t xml:space="preserve">   </t>
    </r>
    <r>
      <rPr>
        <sz val="10"/>
        <color rgb="FF000000"/>
        <rFont val="Arial"/>
      </rPr>
      <t>Аренда производства + коммуналка</t>
    </r>
  </si>
  <si>
    <t xml:space="preserve">   Аренда офиса + комманалка</t>
  </si>
  <si>
    <r>
      <rPr>
        <b/>
        <sz val="10"/>
        <color rgb="FF000000"/>
        <rFont val="Arial"/>
      </rPr>
      <t xml:space="preserve">   </t>
    </r>
    <r>
      <rPr>
        <sz val="10"/>
        <color rgb="FF000000"/>
        <rFont val="Arial"/>
      </rPr>
      <t>Вакуумное оборудование</t>
    </r>
  </si>
  <si>
    <r>
      <rPr>
        <b/>
        <sz val="10"/>
        <color rgb="FF000000"/>
        <rFont val="Arial"/>
      </rPr>
      <t xml:space="preserve">   </t>
    </r>
    <r>
      <rPr>
        <sz val="10"/>
        <color rgb="FF000000"/>
        <rFont val="Arial"/>
      </rPr>
      <t>Упаковка продукции</t>
    </r>
  </si>
  <si>
    <r>
      <rPr>
        <b/>
        <sz val="10"/>
        <color rgb="FF000000"/>
        <rFont val="Arial"/>
      </rPr>
      <t xml:space="preserve">   </t>
    </r>
    <r>
      <rPr>
        <sz val="10"/>
        <color rgb="FF000000"/>
        <rFont val="Arial"/>
      </rPr>
      <t>Фотостудия</t>
    </r>
  </si>
  <si>
    <r>
      <rPr>
        <b/>
        <sz val="10"/>
        <color rgb="FF000000"/>
        <rFont val="Arial"/>
      </rPr>
      <t xml:space="preserve">   </t>
    </r>
    <r>
      <rPr>
        <sz val="10"/>
        <color rgb="FF000000"/>
        <rFont val="Arial"/>
      </rPr>
      <t>Себестоимость товара</t>
    </r>
  </si>
  <si>
    <r>
      <rPr>
        <b/>
        <sz val="10"/>
        <color rgb="FF000000"/>
        <rFont val="Arial"/>
      </rPr>
      <t xml:space="preserve">   </t>
    </r>
    <r>
      <rPr>
        <sz val="10"/>
        <color rgb="FF000000"/>
        <rFont val="Arial"/>
      </rPr>
      <t>Налог (УСН, 6% от доходов)</t>
    </r>
  </si>
  <si>
    <r>
      <t xml:space="preserve">2 000 000 заказов </t>
    </r>
    <r>
      <rPr>
        <sz val="11"/>
        <color rgb="FF000000"/>
        <rFont val="Arial"/>
        <family val="2"/>
        <charset val="204"/>
      </rPr>
      <t>на Waildberries; Ozon; СберМаркет; ЯндексМаркет  ежедневно оформляют более 20 млн. посетителей. География присутствия компаний охватывает 7 стран: Россию, Казахстан, Киргизию, Армению, Беларусь, Польшу и Словакию.</t>
    </r>
    <r>
      <rPr>
        <b/>
        <sz val="11"/>
        <color rgb="FF000000"/>
        <rFont val="Arial"/>
        <family val="2"/>
        <charset val="204"/>
      </rPr>
      <t xml:space="preserve">
100 млн. </t>
    </r>
    <r>
      <rPr>
        <sz val="11"/>
        <color rgb="FF000000"/>
        <rFont val="Arial"/>
        <family val="2"/>
        <charset val="204"/>
      </rPr>
      <t>отзывов от активных и пользователей и поставщиков.</t>
    </r>
  </si>
  <si>
    <t>Интернет-торговля — одно из самых популярных направлений</t>
  </si>
  <si>
    <t>Открытие магазина на площадках самых крупных отечественных маркетплейсах уже гарантирует надежность и качество.</t>
  </si>
  <si>
    <t>По данным Ассоциации компаний интернет-торговли (АКИТ), Россияне потратили в 2019 году на интернет-покупки более 2 трлн рублей. И число покупателей с каждым днем продолжает расти.                                                                                                            Открытие интернет-магазина будет хорошей идеей по нескольким причинам:
    - возрастающая популярность онлайн-магазинов среди потенциальных покупателей;
    - найти и приобрести нужный товар в интернете можно в считанные минуты;
    - благодаря регистрации есть возможность создать базу клиентов;
    - отсутствие дополнительных расходов: арендной платы, на приобретение мебели для офиса, коммунальные услуги и зарплату для персонала;
   - снижение затрат позволяет установить более низкие цены, что в свою очередь увеличивает популярность и конкурентоспособность предприятия.</t>
  </si>
  <si>
    <t>Сейчас самое лучшее время стать партнером самых крупных отечественных маркетплейсов Waildberries; Ozon; СберМаркет; ЯндексМаркет. Даже в условиях пандемии, наш онлайн-магазин не перестанет работать. Маркетплейс - это надежный партнер, работающий на рынке с 1998 года.</t>
  </si>
  <si>
    <r>
      <rPr>
        <b/>
        <sz val="10"/>
        <color theme="1"/>
        <rFont val="Arial"/>
      </rPr>
      <t xml:space="preserve">   </t>
    </r>
    <r>
      <rPr>
        <sz val="10"/>
        <color theme="1"/>
        <rFont val="Arial"/>
      </rPr>
      <t xml:space="preserve">Маркетплейсы </t>
    </r>
  </si>
  <si>
    <t xml:space="preserve"> 2 магизна</t>
  </si>
  <si>
    <t xml:space="preserve"> 4 магизна</t>
  </si>
  <si>
    <t xml:space="preserve"> 6 магизнов</t>
  </si>
  <si>
    <t xml:space="preserve"> 8 магизнов</t>
  </si>
  <si>
    <t xml:space="preserve"> 10 магизнов</t>
  </si>
  <si>
    <t xml:space="preserve">   Кол-во магазинов</t>
  </si>
  <si>
    <t xml:space="preserve">   Розничный магазин</t>
  </si>
  <si>
    <t xml:space="preserve">     Финансовая модель общая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</si>
</sst>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&quot; &quot;yyyy"/>
    <numFmt numFmtId="165" formatCode="#,##0\ &quot;₽&quot;"/>
    <numFmt numFmtId="166" formatCode="0.0%"/>
  </numFmts>
  <fonts count="30" x14ac:knownFonts="1">
    <font>
      <sz val="10"/>
      <color rgb="FF000000"/>
      <name val="Calibri"/>
      <scheme val="minor"/>
    </font>
    <font>
      <u/>
      <sz val="10"/>
      <color rgb="FF1155CC"/>
      <name val="Arial"/>
    </font>
    <font>
      <b/>
      <sz val="11"/>
      <color rgb="FF000000"/>
      <name val="Arial"/>
    </font>
    <font>
      <b/>
      <sz val="12"/>
      <color rgb="FF000000"/>
      <name val="Arial"/>
    </font>
    <font>
      <b/>
      <u/>
      <sz val="11"/>
      <color rgb="FF000000"/>
      <name val="Arial"/>
    </font>
    <font>
      <b/>
      <u/>
      <sz val="11"/>
      <color rgb="FFFFFFFF"/>
      <name val="Arial"/>
    </font>
    <font>
      <b/>
      <u/>
      <sz val="12"/>
      <color rgb="FFFFFFFF"/>
      <name val="Arial"/>
    </font>
    <font>
      <sz val="10"/>
      <color theme="1"/>
      <name val="Calibri"/>
      <scheme val="minor"/>
    </font>
    <font>
      <b/>
      <sz val="10"/>
      <color theme="1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theme="1"/>
      <name val="Arial"/>
    </font>
    <font>
      <sz val="11"/>
      <color rgb="FF000000"/>
      <name val="Arial"/>
    </font>
    <font>
      <b/>
      <sz val="11"/>
      <color theme="1"/>
      <name val="Arial"/>
    </font>
    <font>
      <sz val="10"/>
      <color rgb="FF000000"/>
      <name val="Arial"/>
    </font>
    <font>
      <sz val="10"/>
      <name val="Calibri"/>
    </font>
    <font>
      <b/>
      <sz val="12"/>
      <color theme="1"/>
      <name val="Arial"/>
    </font>
    <font>
      <sz val="11"/>
      <color theme="1"/>
      <name val="Arial"/>
    </font>
    <font>
      <sz val="13"/>
      <color theme="1"/>
      <name val="Arial"/>
    </font>
    <font>
      <sz val="12"/>
      <color rgb="FF000000"/>
      <name val="Arial"/>
    </font>
    <font>
      <b/>
      <sz val="10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8"/>
      <name val="Calibri"/>
      <family val="2"/>
      <charset val="204"/>
      <scheme val="minor"/>
    </font>
    <font>
      <i/>
      <sz val="8"/>
      <color rgb="FF00000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  <fill>
      <patternFill patternType="solid">
        <fgColor rgb="FFCFE2F3"/>
        <bgColor rgb="FFCFE2F3"/>
      </patternFill>
    </fill>
    <fill>
      <patternFill patternType="solid">
        <fgColor rgb="FFD9D9D9"/>
        <bgColor rgb="FFD9D9D9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 style="thin">
        <color rgb="FFEFEFEF"/>
      </left>
      <right/>
      <top style="thin">
        <color rgb="FFEFEFEF"/>
      </top>
      <bottom style="thin">
        <color rgb="FFEFEFEF"/>
      </bottom>
      <diagonal/>
    </border>
    <border>
      <left/>
      <right/>
      <top style="thin">
        <color rgb="FFEFEFEF"/>
      </top>
      <bottom style="thin">
        <color rgb="FFEFEFEF"/>
      </bottom>
      <diagonal/>
    </border>
    <border>
      <left/>
      <right style="thin">
        <color rgb="FFEFEFEF"/>
      </right>
      <top style="thin">
        <color rgb="FFEFEFEF"/>
      </top>
      <bottom style="thin">
        <color rgb="FFEFEFEF"/>
      </bottom>
      <diagonal/>
    </border>
    <border>
      <left/>
      <right/>
      <top style="thin">
        <color rgb="FFEFEFEF"/>
      </top>
      <bottom style="thin">
        <color rgb="FFFFFFFF"/>
      </bottom>
      <diagonal/>
    </border>
    <border>
      <left style="thin">
        <color rgb="FFEFEFEF"/>
      </left>
      <right/>
      <top style="thin">
        <color rgb="FFEFEFEF"/>
      </top>
      <bottom/>
      <diagonal/>
    </border>
    <border>
      <left/>
      <right/>
      <top style="thin">
        <color rgb="FFEFEFEF"/>
      </top>
      <bottom/>
      <diagonal/>
    </border>
    <border>
      <left/>
      <right style="thin">
        <color rgb="FFEFEFEF"/>
      </right>
      <top style="thin">
        <color rgb="FFEFEFE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EFEFEF"/>
      </left>
      <right/>
      <top/>
      <bottom/>
      <diagonal/>
    </border>
    <border>
      <left/>
      <right style="thin">
        <color rgb="FFEFEFEF"/>
      </right>
      <top/>
      <bottom/>
      <diagonal/>
    </border>
    <border>
      <left/>
      <right style="thin">
        <color rgb="FFD9D9D9"/>
      </right>
      <top style="thin">
        <color rgb="FFFFFFFF"/>
      </top>
      <bottom style="thin">
        <color rgb="FFFFFFFF"/>
      </bottom>
      <diagonal/>
    </border>
    <border>
      <left style="thin">
        <color rgb="FFEFEFEF"/>
      </left>
      <right/>
      <top/>
      <bottom style="thin">
        <color rgb="FFEFEFEF"/>
      </bottom>
      <diagonal/>
    </border>
    <border>
      <left/>
      <right/>
      <top/>
      <bottom style="thin">
        <color rgb="FFEFEFEF"/>
      </bottom>
      <diagonal/>
    </border>
    <border>
      <left/>
      <right style="thin">
        <color rgb="FFEFEFEF"/>
      </right>
      <top/>
      <bottom style="thin">
        <color rgb="FFEFEFEF"/>
      </bottom>
      <diagonal/>
    </border>
    <border>
      <left/>
      <right style="thin">
        <color rgb="FFD9D9D9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D9D9D9"/>
      </right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D9D9D9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EFEFEF"/>
      </bottom>
      <diagonal/>
    </border>
    <border>
      <left style="thin">
        <color rgb="FFFFFFFF"/>
      </left>
      <right/>
      <top style="thin">
        <color rgb="FFFFFFFF"/>
      </top>
      <bottom style="thin">
        <color rgb="FFEFEFEF"/>
      </bottom>
      <diagonal/>
    </border>
    <border>
      <left/>
      <right/>
      <top style="thin">
        <color rgb="FFFFFFFF"/>
      </top>
      <bottom style="thin">
        <color rgb="FFEFEFEF"/>
      </bottom>
      <diagonal/>
    </border>
    <border>
      <left/>
      <right style="thin">
        <color rgb="FFFFFFFF"/>
      </right>
      <top style="thin">
        <color rgb="FFFFFFFF"/>
      </top>
      <bottom style="thin">
        <color rgb="FFEFEFEF"/>
      </bottom>
      <diagonal/>
    </border>
    <border>
      <left style="thin">
        <color rgb="FFFFFFFF"/>
      </left>
      <right style="thin">
        <color rgb="FFD9D9D9"/>
      </right>
      <top style="thin">
        <color rgb="FFFFFFFF"/>
      </top>
      <bottom style="thin">
        <color rgb="FFEFEFEF"/>
      </bottom>
      <diagonal/>
    </border>
    <border>
      <left style="thin">
        <color rgb="FFEFEFEF"/>
      </left>
      <right/>
      <top style="thin">
        <color rgb="FFEFEFEF"/>
      </top>
      <bottom style="thin">
        <color rgb="FFFFFFFF"/>
      </bottom>
      <diagonal/>
    </border>
    <border>
      <left/>
      <right style="thin">
        <color rgb="FFD9D9D9"/>
      </right>
      <top style="thin">
        <color rgb="FFEFEFEF"/>
      </top>
      <bottom style="thin">
        <color rgb="FFFFFFFF"/>
      </bottom>
      <diagonal/>
    </border>
    <border>
      <left style="thin">
        <color rgb="FFEFEFEF"/>
      </left>
      <right/>
      <top style="thin">
        <color rgb="FFFFFFFF"/>
      </top>
      <bottom/>
      <diagonal/>
    </border>
    <border>
      <left/>
      <right style="thin">
        <color rgb="FFD9D9D9"/>
      </right>
      <top/>
      <bottom/>
      <diagonal/>
    </border>
    <border>
      <left style="thin">
        <color rgb="FFEFEFEF"/>
      </left>
      <right/>
      <top/>
      <bottom style="thin">
        <color rgb="FFFFFFFF"/>
      </bottom>
      <diagonal/>
    </border>
    <border>
      <left style="thin">
        <color rgb="FFEFEFEF"/>
      </left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1" tint="0.49998474074526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1" tint="0.499984740745262"/>
      </bottom>
      <diagonal/>
    </border>
    <border>
      <left style="thin">
        <color theme="0"/>
      </left>
      <right style="thin">
        <color theme="1" tint="0.499984740745262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1" tint="0.499984740745262"/>
      </right>
      <top style="thin">
        <color theme="0"/>
      </top>
      <bottom style="thin">
        <color theme="1" tint="0.499984740745262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1" tint="0.499984740745262"/>
      </right>
      <top/>
      <bottom style="thin">
        <color theme="0"/>
      </bottom>
      <diagonal/>
    </border>
    <border>
      <left style="thin">
        <color theme="1" tint="0.499984740745262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26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0" fillId="3" borderId="1" xfId="0" applyFont="1" applyFill="1" applyBorder="1"/>
    <xf numFmtId="0" fontId="0" fillId="0" borderId="0" xfId="0" applyFont="1"/>
    <xf numFmtId="0" fontId="8" fillId="0" borderId="0" xfId="0" applyFont="1" applyAlignment="1">
      <alignment horizontal="left"/>
    </xf>
    <xf numFmtId="164" fontId="8" fillId="0" borderId="0" xfId="0" applyNumberFormat="1" applyFont="1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center"/>
    </xf>
    <xf numFmtId="0" fontId="10" fillId="0" borderId="0" xfId="0" applyFont="1"/>
    <xf numFmtId="0" fontId="0" fillId="4" borderId="0" xfId="0" applyFont="1" applyFill="1"/>
    <xf numFmtId="0" fontId="9" fillId="2" borderId="1" xfId="0" applyFont="1" applyFill="1" applyBorder="1" applyAlignment="1">
      <alignment horizontal="left" vertical="center"/>
    </xf>
    <xf numFmtId="165" fontId="8" fillId="2" borderId="1" xfId="0" applyNumberFormat="1" applyFont="1" applyFill="1" applyBorder="1" applyAlignment="1">
      <alignment horizontal="right" vertical="center"/>
    </xf>
    <xf numFmtId="165" fontId="9" fillId="2" borderId="1" xfId="0" applyNumberFormat="1" applyFont="1" applyFill="1" applyBorder="1" applyAlignment="1">
      <alignment horizontal="right" vertical="center"/>
    </xf>
    <xf numFmtId="165" fontId="9" fillId="2" borderId="1" xfId="0" applyNumberFormat="1" applyFont="1" applyFill="1" applyBorder="1" applyAlignment="1">
      <alignment horizontal="right" vertical="center"/>
    </xf>
    <xf numFmtId="165" fontId="8" fillId="2" borderId="1" xfId="0" applyNumberFormat="1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5" borderId="1" xfId="0" applyFont="1" applyFill="1" applyBorder="1" applyAlignment="1">
      <alignment horizontal="left" vertical="center"/>
    </xf>
    <xf numFmtId="165" fontId="8" fillId="5" borderId="1" xfId="0" applyNumberFormat="1" applyFont="1" applyFill="1" applyBorder="1" applyAlignment="1">
      <alignment vertical="center"/>
    </xf>
    <xf numFmtId="0" fontId="11" fillId="0" borderId="0" xfId="0" applyFont="1" applyAlignment="1">
      <alignment horizontal="left" vertical="center"/>
    </xf>
    <xf numFmtId="3" fontId="11" fillId="0" borderId="0" xfId="0" applyNumberFormat="1" applyFont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3" fontId="11" fillId="0" borderId="0" xfId="0" applyNumberFormat="1" applyFont="1" applyAlignment="1">
      <alignment vertical="center"/>
    </xf>
    <xf numFmtId="9" fontId="11" fillId="0" borderId="0" xfId="0" applyNumberFormat="1" applyFont="1" applyAlignment="1">
      <alignment horizontal="right" vertical="center"/>
    </xf>
    <xf numFmtId="0" fontId="11" fillId="2" borderId="0" xfId="0" applyFont="1" applyFill="1" applyAlignment="1">
      <alignment horizontal="left" vertical="center"/>
    </xf>
    <xf numFmtId="3" fontId="11" fillId="2" borderId="0" xfId="0" applyNumberFormat="1" applyFont="1" applyFill="1" applyAlignment="1">
      <alignment horizontal="right" vertical="center"/>
    </xf>
    <xf numFmtId="3" fontId="11" fillId="2" borderId="0" xfId="0" applyNumberFormat="1" applyFont="1" applyFill="1" applyAlignment="1">
      <alignment vertical="center"/>
    </xf>
    <xf numFmtId="3" fontId="10" fillId="0" borderId="0" xfId="0" applyNumberFormat="1" applyFont="1" applyAlignment="1">
      <alignment vertical="center"/>
    </xf>
    <xf numFmtId="0" fontId="8" fillId="6" borderId="1" xfId="0" applyFont="1" applyFill="1" applyBorder="1" applyAlignment="1">
      <alignment horizontal="left" vertical="center"/>
    </xf>
    <xf numFmtId="165" fontId="9" fillId="6" borderId="1" xfId="0" applyNumberFormat="1" applyFont="1" applyFill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9" fillId="7" borderId="1" xfId="0" applyFont="1" applyFill="1" applyBorder="1" applyAlignment="1">
      <alignment horizontal="left" vertical="center"/>
    </xf>
    <xf numFmtId="165" fontId="9" fillId="8" borderId="0" xfId="0" applyNumberFormat="1" applyFont="1" applyFill="1" applyAlignment="1">
      <alignment vertical="center"/>
    </xf>
    <xf numFmtId="165" fontId="9" fillId="7" borderId="0" xfId="0" applyNumberFormat="1" applyFont="1" applyFill="1" applyAlignment="1">
      <alignment vertical="center"/>
    </xf>
    <xf numFmtId="9" fontId="10" fillId="0" borderId="0" xfId="0" applyNumberFormat="1" applyFont="1" applyAlignment="1">
      <alignment vertical="center"/>
    </xf>
    <xf numFmtId="0" fontId="12" fillId="2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3" fontId="14" fillId="4" borderId="0" xfId="0" applyNumberFormat="1" applyFont="1" applyFill="1" applyAlignment="1">
      <alignment vertical="center"/>
    </xf>
    <xf numFmtId="3" fontId="10" fillId="4" borderId="0" xfId="0" applyNumberFormat="1" applyFont="1" applyFill="1" applyAlignment="1">
      <alignment vertical="center"/>
    </xf>
    <xf numFmtId="0" fontId="18" fillId="4" borderId="20" xfId="0" applyFont="1" applyFill="1" applyBorder="1" applyAlignment="1">
      <alignment horizontal="center" vertical="center" wrapText="1"/>
    </xf>
    <xf numFmtId="0" fontId="19" fillId="4" borderId="20" xfId="0" applyFont="1" applyFill="1" applyBorder="1" applyAlignment="1">
      <alignment horizontal="center" vertical="top" wrapText="1"/>
    </xf>
    <xf numFmtId="0" fontId="18" fillId="4" borderId="21" xfId="0" applyFont="1" applyFill="1" applyBorder="1" applyAlignment="1">
      <alignment horizontal="center" vertical="center" wrapText="1"/>
    </xf>
    <xf numFmtId="0" fontId="18" fillId="4" borderId="22" xfId="0" applyFont="1" applyFill="1" applyBorder="1" applyAlignment="1">
      <alignment horizontal="center" vertical="center" wrapText="1"/>
    </xf>
    <xf numFmtId="0" fontId="18" fillId="4" borderId="26" xfId="0" applyFont="1" applyFill="1" applyBorder="1" applyAlignment="1">
      <alignment horizontal="center" vertical="center" wrapText="1"/>
    </xf>
    <xf numFmtId="0" fontId="18" fillId="0" borderId="0" xfId="0" applyFont="1"/>
    <xf numFmtId="0" fontId="0" fillId="0" borderId="0" xfId="0" applyFont="1" applyAlignment="1"/>
    <xf numFmtId="0" fontId="0" fillId="0" borderId="0" xfId="0" applyFont="1" applyAlignment="1"/>
    <xf numFmtId="0" fontId="10" fillId="0" borderId="0" xfId="0" applyFont="1" applyAlignment="1">
      <alignment vertical="center"/>
    </xf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0" fillId="0" borderId="0" xfId="0" applyFont="1" applyAlignment="1"/>
    <xf numFmtId="0" fontId="24" fillId="2" borderId="0" xfId="0" applyFont="1" applyFill="1" applyAlignment="1">
      <alignment horizontal="left" vertical="center"/>
    </xf>
    <xf numFmtId="0" fontId="21" fillId="2" borderId="0" xfId="0" applyFont="1" applyFill="1" applyAlignment="1">
      <alignment vertical="center"/>
    </xf>
    <xf numFmtId="0" fontId="0" fillId="0" borderId="0" xfId="0" applyFont="1" applyAlignment="1"/>
    <xf numFmtId="0" fontId="10" fillId="0" borderId="0" xfId="0" applyFont="1"/>
    <xf numFmtId="0" fontId="10" fillId="0" borderId="0" xfId="0" applyFont="1" applyAlignment="1">
      <alignment vertical="center"/>
    </xf>
    <xf numFmtId="0" fontId="2" fillId="2" borderId="33" xfId="0" applyFont="1" applyFill="1" applyBorder="1" applyAlignment="1">
      <alignment vertical="center"/>
    </xf>
    <xf numFmtId="0" fontId="3" fillId="2" borderId="33" xfId="0" applyFont="1" applyFill="1" applyBorder="1" applyAlignment="1">
      <alignment vertical="center"/>
    </xf>
    <xf numFmtId="0" fontId="4" fillId="2" borderId="33" xfId="0" applyFont="1" applyFill="1" applyBorder="1" applyAlignment="1">
      <alignment horizontal="center" vertical="center"/>
    </xf>
    <xf numFmtId="0" fontId="0" fillId="0" borderId="33" xfId="0" applyBorder="1"/>
    <xf numFmtId="0" fontId="0" fillId="3" borderId="33" xfId="0" applyFill="1" applyBorder="1"/>
    <xf numFmtId="0" fontId="0" fillId="4" borderId="33" xfId="0" applyFill="1" applyBorder="1"/>
    <xf numFmtId="165" fontId="9" fillId="2" borderId="33" xfId="0" applyNumberFormat="1" applyFont="1" applyFill="1" applyBorder="1" applyAlignment="1">
      <alignment horizontal="right" vertical="center"/>
    </xf>
    <xf numFmtId="165" fontId="8" fillId="2" borderId="33" xfId="0" applyNumberFormat="1" applyFont="1" applyFill="1" applyBorder="1" applyAlignment="1">
      <alignment vertical="center"/>
    </xf>
    <xf numFmtId="0" fontId="10" fillId="0" borderId="33" xfId="0" applyFont="1" applyBorder="1" applyAlignment="1">
      <alignment vertical="center"/>
    </xf>
    <xf numFmtId="165" fontId="8" fillId="5" borderId="33" xfId="0" applyNumberFormat="1" applyFont="1" applyFill="1" applyBorder="1" applyAlignment="1">
      <alignment vertical="center"/>
    </xf>
    <xf numFmtId="3" fontId="11" fillId="0" borderId="33" xfId="0" applyNumberFormat="1" applyFont="1" applyBorder="1" applyAlignment="1">
      <alignment horizontal="right" vertical="center"/>
    </xf>
    <xf numFmtId="3" fontId="11" fillId="0" borderId="33" xfId="0" applyNumberFormat="1" applyFont="1" applyBorder="1" applyAlignment="1">
      <alignment vertical="center"/>
    </xf>
    <xf numFmtId="9" fontId="11" fillId="0" borderId="33" xfId="0" applyNumberFormat="1" applyFont="1" applyBorder="1" applyAlignment="1">
      <alignment horizontal="right" vertical="center"/>
    </xf>
    <xf numFmtId="166" fontId="11" fillId="0" borderId="33" xfId="0" applyNumberFormat="1" applyFont="1" applyBorder="1" applyAlignment="1">
      <alignment horizontal="right" vertical="center"/>
    </xf>
    <xf numFmtId="3" fontId="11" fillId="2" borderId="33" xfId="0" applyNumberFormat="1" applyFont="1" applyFill="1" applyBorder="1" applyAlignment="1">
      <alignment horizontal="right" vertical="center"/>
    </xf>
    <xf numFmtId="3" fontId="11" fillId="2" borderId="33" xfId="0" applyNumberFormat="1" applyFont="1" applyFill="1" applyBorder="1" applyAlignment="1">
      <alignment vertical="center"/>
    </xf>
    <xf numFmtId="3" fontId="10" fillId="0" borderId="33" xfId="0" applyNumberFormat="1" applyFont="1" applyBorder="1" applyAlignment="1">
      <alignment vertical="center"/>
    </xf>
    <xf numFmtId="165" fontId="9" fillId="6" borderId="33" xfId="0" applyNumberFormat="1" applyFont="1" applyFill="1" applyBorder="1" applyAlignment="1">
      <alignment vertical="center"/>
    </xf>
    <xf numFmtId="165" fontId="9" fillId="8" borderId="33" xfId="0" applyNumberFormat="1" applyFont="1" applyFill="1" applyBorder="1" applyAlignment="1">
      <alignment vertical="center"/>
    </xf>
    <xf numFmtId="165" fontId="9" fillId="7" borderId="33" xfId="0" applyNumberFormat="1" applyFont="1" applyFill="1" applyBorder="1" applyAlignment="1">
      <alignment vertical="center"/>
    </xf>
    <xf numFmtId="9" fontId="10" fillId="0" borderId="33" xfId="0" applyNumberFormat="1" applyFont="1" applyBorder="1" applyAlignment="1">
      <alignment vertical="center"/>
    </xf>
    <xf numFmtId="0" fontId="12" fillId="2" borderId="33" xfId="0" applyFont="1" applyFill="1" applyBorder="1" applyAlignment="1">
      <alignment vertical="center"/>
    </xf>
    <xf numFmtId="0" fontId="13" fillId="2" borderId="33" xfId="0" applyFont="1" applyFill="1" applyBorder="1" applyAlignment="1">
      <alignment vertical="center"/>
    </xf>
    <xf numFmtId="0" fontId="10" fillId="2" borderId="33" xfId="0" applyFont="1" applyFill="1" applyBorder="1" applyAlignment="1">
      <alignment vertical="center"/>
    </xf>
    <xf numFmtId="3" fontId="10" fillId="4" borderId="33" xfId="0" applyNumberFormat="1" applyFont="1" applyFill="1" applyBorder="1" applyAlignment="1">
      <alignment vertical="center"/>
    </xf>
    <xf numFmtId="0" fontId="18" fillId="4" borderId="33" xfId="0" applyFont="1" applyFill="1" applyBorder="1" applyAlignment="1">
      <alignment horizontal="center" vertical="center" wrapText="1"/>
    </xf>
    <xf numFmtId="0" fontId="19" fillId="4" borderId="33" xfId="0" applyFont="1" applyFill="1" applyBorder="1" applyAlignment="1">
      <alignment horizontal="center" vertical="top" wrapText="1"/>
    </xf>
    <xf numFmtId="0" fontId="18" fillId="0" borderId="33" xfId="0" applyFont="1" applyBorder="1"/>
    <xf numFmtId="0" fontId="5" fillId="9" borderId="33" xfId="0" applyFont="1" applyFill="1" applyBorder="1" applyAlignment="1">
      <alignment horizontal="center" vertical="center"/>
    </xf>
    <xf numFmtId="0" fontId="0" fillId="10" borderId="33" xfId="0" applyFill="1" applyBorder="1"/>
    <xf numFmtId="0" fontId="3" fillId="9" borderId="33" xfId="0" applyFont="1" applyFill="1" applyBorder="1" applyAlignment="1">
      <alignment vertical="center"/>
    </xf>
    <xf numFmtId="164" fontId="8" fillId="0" borderId="34" xfId="0" applyNumberFormat="1" applyFont="1" applyBorder="1" applyAlignment="1">
      <alignment horizontal="center"/>
    </xf>
    <xf numFmtId="0" fontId="9" fillId="0" borderId="34" xfId="0" applyFont="1" applyBorder="1"/>
    <xf numFmtId="0" fontId="8" fillId="0" borderId="34" xfId="0" applyFont="1" applyBorder="1" applyAlignment="1">
      <alignment horizontal="center"/>
    </xf>
    <xf numFmtId="0" fontId="0" fillId="0" borderId="34" xfId="0" applyBorder="1"/>
    <xf numFmtId="0" fontId="2" fillId="2" borderId="35" xfId="0" applyFont="1" applyFill="1" applyBorder="1" applyAlignment="1">
      <alignment vertical="center"/>
    </xf>
    <xf numFmtId="164" fontId="8" fillId="0" borderId="36" xfId="0" applyNumberFormat="1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0" fillId="0" borderId="37" xfId="0" applyBorder="1"/>
    <xf numFmtId="0" fontId="8" fillId="0" borderId="38" xfId="0" applyFont="1" applyBorder="1" applyAlignment="1">
      <alignment horizontal="left"/>
    </xf>
    <xf numFmtId="0" fontId="0" fillId="0" borderId="33" xfId="0" applyBorder="1" applyAlignment="1">
      <alignment vertical="center"/>
    </xf>
    <xf numFmtId="0" fontId="10" fillId="0" borderId="39" xfId="0" applyFont="1" applyBorder="1"/>
    <xf numFmtId="0" fontId="0" fillId="4" borderId="39" xfId="0" applyFill="1" applyBorder="1"/>
    <xf numFmtId="0" fontId="0" fillId="0" borderId="39" xfId="0" applyBorder="1"/>
    <xf numFmtId="165" fontId="8" fillId="2" borderId="35" xfId="0" applyNumberFormat="1" applyFont="1" applyFill="1" applyBorder="1" applyAlignment="1">
      <alignment horizontal="right" vertical="center"/>
    </xf>
    <xf numFmtId="165" fontId="8" fillId="5" borderId="35" xfId="0" applyNumberFormat="1" applyFont="1" applyFill="1" applyBorder="1" applyAlignment="1">
      <alignment vertical="center"/>
    </xf>
    <xf numFmtId="3" fontId="11" fillId="0" borderId="35" xfId="0" applyNumberFormat="1" applyFont="1" applyBorder="1" applyAlignment="1">
      <alignment horizontal="right" vertical="center"/>
    </xf>
    <xf numFmtId="9" fontId="11" fillId="0" borderId="35" xfId="0" applyNumberFormat="1" applyFont="1" applyBorder="1" applyAlignment="1">
      <alignment horizontal="right" vertical="center"/>
    </xf>
    <xf numFmtId="3" fontId="11" fillId="2" borderId="35" xfId="0" applyNumberFormat="1" applyFont="1" applyFill="1" applyBorder="1" applyAlignment="1">
      <alignment horizontal="right" vertical="center"/>
    </xf>
    <xf numFmtId="3" fontId="11" fillId="0" borderId="35" xfId="0" applyNumberFormat="1" applyFont="1" applyBorder="1" applyAlignment="1">
      <alignment vertical="center"/>
    </xf>
    <xf numFmtId="165" fontId="9" fillId="6" borderId="35" xfId="0" applyNumberFormat="1" applyFont="1" applyFill="1" applyBorder="1" applyAlignment="1">
      <alignment vertical="center"/>
    </xf>
    <xf numFmtId="3" fontId="10" fillId="0" borderId="35" xfId="0" applyNumberFormat="1" applyFont="1" applyBorder="1" applyAlignment="1">
      <alignment vertical="center"/>
    </xf>
    <xf numFmtId="165" fontId="9" fillId="8" borderId="35" xfId="0" applyNumberFormat="1" applyFont="1" applyFill="1" applyBorder="1" applyAlignment="1">
      <alignment vertical="center"/>
    </xf>
    <xf numFmtId="9" fontId="10" fillId="0" borderId="35" xfId="0" applyNumberFormat="1" applyFont="1" applyBorder="1" applyAlignment="1">
      <alignment vertical="center"/>
    </xf>
    <xf numFmtId="0" fontId="10" fillId="0" borderId="35" xfId="0" applyFont="1" applyBorder="1" applyAlignment="1">
      <alignment vertical="center"/>
    </xf>
    <xf numFmtId="0" fontId="12" fillId="2" borderId="35" xfId="0" applyFont="1" applyFill="1" applyBorder="1" applyAlignment="1">
      <alignment vertical="center"/>
    </xf>
    <xf numFmtId="0" fontId="18" fillId="0" borderId="35" xfId="0" applyFont="1" applyBorder="1"/>
    <xf numFmtId="0" fontId="0" fillId="0" borderId="35" xfId="0" applyBorder="1"/>
    <xf numFmtId="0" fontId="10" fillId="0" borderId="40" xfId="0" applyFont="1" applyBorder="1"/>
    <xf numFmtId="0" fontId="9" fillId="2" borderId="37" xfId="0" applyFont="1" applyFill="1" applyBorder="1" applyAlignment="1">
      <alignment horizontal="left" vertical="center"/>
    </xf>
    <xf numFmtId="0" fontId="10" fillId="0" borderId="37" xfId="0" applyFont="1" applyBorder="1" applyAlignment="1">
      <alignment vertical="center"/>
    </xf>
    <xf numFmtId="0" fontId="8" fillId="5" borderId="37" xfId="0" applyFont="1" applyFill="1" applyBorder="1" applyAlignment="1">
      <alignment horizontal="left" vertical="center"/>
    </xf>
    <xf numFmtId="0" fontId="11" fillId="0" borderId="37" xfId="0" applyFont="1" applyBorder="1" applyAlignment="1">
      <alignment horizontal="left" vertical="center"/>
    </xf>
    <xf numFmtId="0" fontId="11" fillId="2" borderId="37" xfId="0" applyFont="1" applyFill="1" applyBorder="1" applyAlignment="1">
      <alignment horizontal="left" vertical="center"/>
    </xf>
    <xf numFmtId="0" fontId="24" fillId="0" borderId="37" xfId="0" applyFont="1" applyBorder="1" applyAlignment="1">
      <alignment horizontal="left" vertical="center"/>
    </xf>
    <xf numFmtId="0" fontId="8" fillId="6" borderId="37" xfId="0" applyFont="1" applyFill="1" applyBorder="1" applyAlignment="1">
      <alignment horizontal="left" vertical="center"/>
    </xf>
    <xf numFmtId="0" fontId="10" fillId="0" borderId="37" xfId="0" applyFont="1" applyBorder="1" applyAlignment="1">
      <alignment horizontal="left" vertical="center"/>
    </xf>
    <xf numFmtId="0" fontId="25" fillId="0" borderId="37" xfId="0" applyFont="1" applyBorder="1" applyAlignment="1">
      <alignment horizontal="left" vertical="center"/>
    </xf>
    <xf numFmtId="0" fontId="9" fillId="7" borderId="37" xfId="0" applyFont="1" applyFill="1" applyBorder="1" applyAlignment="1">
      <alignment horizontal="left" vertical="center"/>
    </xf>
    <xf numFmtId="0" fontId="18" fillId="0" borderId="37" xfId="0" applyFont="1" applyBorder="1"/>
    <xf numFmtId="0" fontId="18" fillId="4" borderId="35" xfId="0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vertical="center"/>
    </xf>
    <xf numFmtId="0" fontId="24" fillId="0" borderId="1" xfId="0" applyFont="1" applyFill="1" applyBorder="1" applyAlignment="1">
      <alignment horizontal="left" vertical="center"/>
    </xf>
    <xf numFmtId="0" fontId="29" fillId="0" borderId="0" xfId="0" applyFont="1" applyAlignment="1">
      <alignment horizontal="right" vertical="center"/>
    </xf>
    <xf numFmtId="165" fontId="9" fillId="0" borderId="1" xfId="0" applyNumberFormat="1" applyFont="1" applyFill="1" applyBorder="1" applyAlignment="1">
      <alignment vertical="center"/>
    </xf>
    <xf numFmtId="0" fontId="0" fillId="0" borderId="0" xfId="0" applyFont="1" applyFill="1"/>
    <xf numFmtId="0" fontId="0" fillId="0" borderId="0" xfId="0" applyFont="1" applyFill="1" applyAlignment="1">
      <alignment vertical="center"/>
    </xf>
    <xf numFmtId="0" fontId="0" fillId="0" borderId="0" xfId="0" applyFont="1" applyFill="1" applyAlignment="1"/>
    <xf numFmtId="0" fontId="6" fillId="4" borderId="0" xfId="0" applyFont="1" applyFill="1" applyAlignment="1">
      <alignment horizontal="center" vertical="center"/>
    </xf>
    <xf numFmtId="0" fontId="0" fillId="0" borderId="0" xfId="0" applyFont="1" applyAlignment="1"/>
    <xf numFmtId="0" fontId="7" fillId="0" borderId="0" xfId="0" applyFont="1"/>
    <xf numFmtId="0" fontId="10" fillId="0" borderId="0" xfId="0" applyFont="1"/>
    <xf numFmtId="0" fontId="10" fillId="0" borderId="0" xfId="0" applyFont="1" applyAlignment="1">
      <alignment vertical="center"/>
    </xf>
    <xf numFmtId="0" fontId="0" fillId="0" borderId="0" xfId="0" applyFont="1" applyAlignment="1">
      <alignment horizontal="left"/>
    </xf>
    <xf numFmtId="3" fontId="0" fillId="0" borderId="0" xfId="0" applyNumberFormat="1" applyFont="1"/>
    <xf numFmtId="0" fontId="26" fillId="4" borderId="27" xfId="0" applyFont="1" applyFill="1" applyBorder="1" applyAlignment="1">
      <alignment horizontal="center"/>
    </xf>
    <xf numFmtId="0" fontId="16" fillId="4" borderId="5" xfId="0" applyFont="1" applyFill="1" applyBorder="1" applyAlignment="1">
      <alignment horizontal="center"/>
    </xf>
    <xf numFmtId="0" fontId="16" fillId="4" borderId="28" xfId="0" applyFont="1" applyFill="1" applyBorder="1" applyAlignment="1">
      <alignment horizontal="center"/>
    </xf>
    <xf numFmtId="0" fontId="23" fillId="4" borderId="29" xfId="0" applyFont="1" applyFill="1" applyBorder="1" applyAlignment="1">
      <alignment horizontal="center" vertical="top" wrapText="1"/>
    </xf>
    <xf numFmtId="0" fontId="17" fillId="4" borderId="17" xfId="0" applyFont="1" applyFill="1" applyBorder="1" applyAlignment="1">
      <alignment horizontal="center" vertical="top" wrapText="1"/>
    </xf>
    <xf numFmtId="0" fontId="17" fillId="4" borderId="16" xfId="0" applyFont="1" applyFill="1" applyBorder="1" applyAlignment="1">
      <alignment horizontal="center" vertical="top" wrapText="1"/>
    </xf>
    <xf numFmtId="0" fontId="17" fillId="4" borderId="10" xfId="0" applyFont="1" applyFill="1" applyBorder="1" applyAlignment="1">
      <alignment horizontal="center" vertical="top" wrapText="1"/>
    </xf>
    <xf numFmtId="0" fontId="17" fillId="4" borderId="1" xfId="0" applyFont="1" applyFill="1" applyBorder="1" applyAlignment="1">
      <alignment horizontal="center" vertical="top" wrapText="1"/>
    </xf>
    <xf numFmtId="0" fontId="17" fillId="4" borderId="30" xfId="0" applyFont="1" applyFill="1" applyBorder="1" applyAlignment="1">
      <alignment horizontal="center" vertical="top" wrapText="1"/>
    </xf>
    <xf numFmtId="0" fontId="17" fillId="4" borderId="31" xfId="0" applyFont="1" applyFill="1" applyBorder="1" applyAlignment="1">
      <alignment horizontal="center" vertical="top" wrapText="1"/>
    </xf>
    <xf numFmtId="0" fontId="17" fillId="4" borderId="19" xfId="0" applyFont="1" applyFill="1" applyBorder="1" applyAlignment="1">
      <alignment horizontal="center" vertical="top" wrapText="1"/>
    </xf>
    <xf numFmtId="0" fontId="17" fillId="4" borderId="18" xfId="0" applyFont="1" applyFill="1" applyBorder="1" applyAlignment="1">
      <alignment horizontal="center" vertical="top" wrapText="1"/>
    </xf>
    <xf numFmtId="0" fontId="20" fillId="4" borderId="32" xfId="0" applyFont="1" applyFill="1" applyBorder="1" applyAlignment="1">
      <alignment horizontal="center" vertical="center" wrapText="1"/>
    </xf>
    <xf numFmtId="0" fontId="20" fillId="4" borderId="9" xfId="0" applyFont="1" applyFill="1" applyBorder="1" applyAlignment="1">
      <alignment horizontal="center" vertical="center" wrapText="1"/>
    </xf>
    <xf numFmtId="0" fontId="20" fillId="4" borderId="12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3" fillId="2" borderId="6" xfId="0" applyFont="1" applyFill="1" applyBorder="1" applyAlignment="1">
      <alignment horizontal="left" vertical="center" wrapText="1"/>
    </xf>
    <xf numFmtId="0" fontId="17" fillId="2" borderId="7" xfId="0" applyFont="1" applyFill="1" applyBorder="1" applyAlignment="1">
      <alignment horizontal="left" vertical="center" wrapText="1"/>
    </xf>
    <xf numFmtId="0" fontId="17" fillId="2" borderId="8" xfId="0" applyFont="1" applyFill="1" applyBorder="1" applyAlignment="1">
      <alignment horizontal="left" vertical="center" wrapText="1"/>
    </xf>
    <xf numFmtId="0" fontId="17" fillId="2" borderId="10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2" borderId="11" xfId="0" applyFont="1" applyFill="1" applyBorder="1" applyAlignment="1">
      <alignment horizontal="left" vertical="center" wrapText="1"/>
    </xf>
    <xf numFmtId="0" fontId="17" fillId="2" borderId="13" xfId="0" applyFont="1" applyFill="1" applyBorder="1" applyAlignment="1">
      <alignment horizontal="left" vertical="center" wrapText="1"/>
    </xf>
    <xf numFmtId="0" fontId="17" fillId="2" borderId="14" xfId="0" applyFont="1" applyFill="1" applyBorder="1" applyAlignment="1">
      <alignment horizontal="left" vertical="center" wrapText="1"/>
    </xf>
    <xf numFmtId="0" fontId="17" fillId="2" borderId="15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vertical="center" wrapText="1"/>
    </xf>
    <xf numFmtId="0" fontId="15" fillId="0" borderId="3" xfId="0" applyFont="1" applyBorder="1"/>
    <xf numFmtId="0" fontId="15" fillId="0" borderId="4" xfId="0" applyFont="1" applyBorder="1"/>
    <xf numFmtId="0" fontId="19" fillId="4" borderId="23" xfId="0" applyFont="1" applyFill="1" applyBorder="1" applyAlignment="1">
      <alignment horizontal="center" vertical="top" wrapText="1"/>
    </xf>
    <xf numFmtId="0" fontId="15" fillId="0" borderId="24" xfId="0" applyFont="1" applyBorder="1"/>
    <xf numFmtId="0" fontId="15" fillId="0" borderId="25" xfId="0" applyFont="1" applyBorder="1"/>
    <xf numFmtId="0" fontId="23" fillId="2" borderId="7" xfId="0" applyFont="1" applyFill="1" applyBorder="1" applyAlignment="1">
      <alignment horizontal="left" vertical="center" wrapText="1"/>
    </xf>
    <xf numFmtId="0" fontId="23" fillId="2" borderId="8" xfId="0" applyFont="1" applyFill="1" applyBorder="1" applyAlignment="1">
      <alignment horizontal="left" vertical="center" wrapText="1"/>
    </xf>
    <xf numFmtId="0" fontId="23" fillId="2" borderId="10" xfId="0" applyFont="1" applyFill="1" applyBorder="1" applyAlignment="1">
      <alignment horizontal="left" vertical="center" wrapText="1"/>
    </xf>
    <xf numFmtId="0" fontId="23" fillId="2" borderId="1" xfId="0" applyFont="1" applyFill="1" applyBorder="1" applyAlignment="1">
      <alignment horizontal="left" vertical="center" wrapText="1"/>
    </xf>
    <xf numFmtId="0" fontId="23" fillId="2" borderId="11" xfId="0" applyFont="1" applyFill="1" applyBorder="1" applyAlignment="1">
      <alignment horizontal="left" vertical="center" wrapText="1"/>
    </xf>
    <xf numFmtId="0" fontId="23" fillId="2" borderId="13" xfId="0" applyFont="1" applyFill="1" applyBorder="1" applyAlignment="1">
      <alignment horizontal="left" vertical="center" wrapText="1"/>
    </xf>
    <xf numFmtId="0" fontId="23" fillId="2" borderId="14" xfId="0" applyFont="1" applyFill="1" applyBorder="1" applyAlignment="1">
      <alignment horizontal="left" vertical="center" wrapText="1"/>
    </xf>
    <xf numFmtId="0" fontId="23" fillId="2" borderId="15" xfId="0" applyFont="1" applyFill="1" applyBorder="1" applyAlignment="1">
      <alignment horizontal="left" vertical="center" wrapText="1"/>
    </xf>
    <xf numFmtId="0" fontId="17" fillId="4" borderId="35" xfId="0" applyFont="1" applyFill="1" applyBorder="1" applyAlignment="1">
      <alignment horizontal="center" vertical="top" wrapText="1"/>
    </xf>
    <xf numFmtId="0" fontId="17" fillId="4" borderId="33" xfId="0" applyFont="1" applyFill="1" applyBorder="1" applyAlignment="1">
      <alignment horizontal="center" vertical="top" wrapText="1"/>
    </xf>
    <xf numFmtId="0" fontId="23" fillId="2" borderId="41" xfId="0" applyFont="1" applyFill="1" applyBorder="1" applyAlignment="1">
      <alignment horizontal="left" vertical="center" wrapText="1"/>
    </xf>
    <xf numFmtId="0" fontId="17" fillId="2" borderId="33" xfId="0" applyFont="1" applyFill="1" applyBorder="1" applyAlignment="1">
      <alignment horizontal="left" vertical="center" wrapText="1"/>
    </xf>
    <xf numFmtId="0" fontId="17" fillId="2" borderId="37" xfId="0" applyFont="1" applyFill="1" applyBorder="1" applyAlignment="1">
      <alignment horizontal="left" vertical="center" wrapText="1"/>
    </xf>
    <xf numFmtId="0" fontId="17" fillId="2" borderId="41" xfId="0" applyFont="1" applyFill="1" applyBorder="1" applyAlignment="1">
      <alignment horizontal="left" vertical="center" wrapText="1"/>
    </xf>
    <xf numFmtId="0" fontId="17" fillId="2" borderId="41" xfId="0" applyFont="1" applyFill="1" applyBorder="1" applyAlignment="1">
      <alignment vertical="center"/>
    </xf>
    <xf numFmtId="0" fontId="15" fillId="0" borderId="33" xfId="0" applyFont="1" applyBorder="1"/>
    <xf numFmtId="0" fontId="15" fillId="0" borderId="37" xfId="0" applyFont="1" applyBorder="1"/>
    <xf numFmtId="0" fontId="15" fillId="0" borderId="41" xfId="0" applyFont="1" applyBorder="1"/>
    <xf numFmtId="0" fontId="13" fillId="2" borderId="41" xfId="0" applyFont="1" applyFill="1" applyBorder="1" applyAlignment="1">
      <alignment vertical="center" wrapText="1"/>
    </xf>
    <xf numFmtId="0" fontId="19" fillId="4" borderId="33" xfId="0" applyFont="1" applyFill="1" applyBorder="1" applyAlignment="1">
      <alignment horizontal="center" vertical="top" wrapText="1"/>
    </xf>
    <xf numFmtId="0" fontId="6" fillId="9" borderId="33" xfId="0" applyFont="1" applyFill="1" applyBorder="1" applyAlignment="1">
      <alignment horizontal="center" vertical="center"/>
    </xf>
    <xf numFmtId="0" fontId="0" fillId="10" borderId="33" xfId="0" applyFill="1" applyBorder="1"/>
    <xf numFmtId="0" fontId="7" fillId="0" borderId="33" xfId="0" applyFont="1" applyBorder="1"/>
    <xf numFmtId="0" fontId="0" fillId="0" borderId="33" xfId="0" applyBorder="1"/>
    <xf numFmtId="0" fontId="10" fillId="0" borderId="39" xfId="0" applyFont="1" applyBorder="1"/>
    <xf numFmtId="0" fontId="0" fillId="0" borderId="39" xfId="0" applyBorder="1"/>
    <xf numFmtId="0" fontId="10" fillId="0" borderId="33" xfId="0" applyFont="1" applyBorder="1"/>
    <xf numFmtId="0" fontId="10" fillId="0" borderId="33" xfId="0" applyFont="1" applyBorder="1" applyAlignment="1">
      <alignment vertical="center"/>
    </xf>
    <xf numFmtId="0" fontId="0" fillId="0" borderId="37" xfId="0" applyBorder="1" applyAlignment="1">
      <alignment horizontal="left"/>
    </xf>
    <xf numFmtId="0" fontId="0" fillId="0" borderId="37" xfId="0" applyBorder="1"/>
    <xf numFmtId="3" fontId="0" fillId="0" borderId="33" xfId="0" applyNumberFormat="1" applyBorder="1"/>
    <xf numFmtId="0" fontId="21" fillId="2" borderId="41" xfId="0" applyFont="1" applyFill="1" applyBorder="1" applyAlignment="1">
      <alignment horizontal="left" vertical="center" wrapText="1"/>
    </xf>
    <xf numFmtId="0" fontId="2" fillId="2" borderId="33" xfId="0" applyFont="1" applyFill="1" applyBorder="1" applyAlignment="1">
      <alignment horizontal="left" vertical="center" wrapText="1"/>
    </xf>
    <xf numFmtId="0" fontId="2" fillId="2" borderId="37" xfId="0" applyFont="1" applyFill="1" applyBorder="1" applyAlignment="1">
      <alignment horizontal="left" vertical="center" wrapText="1"/>
    </xf>
    <xf numFmtId="0" fontId="2" fillId="2" borderId="41" xfId="0" applyFont="1" applyFill="1" applyBorder="1" applyAlignment="1">
      <alignment horizontal="left" vertical="center" wrapText="1"/>
    </xf>
    <xf numFmtId="0" fontId="16" fillId="4" borderId="35" xfId="0" applyFont="1" applyFill="1" applyBorder="1" applyAlignment="1">
      <alignment horizontal="center"/>
    </xf>
    <xf numFmtId="0" fontId="16" fillId="4" borderId="33" xfId="0" applyFont="1" applyFill="1" applyBorder="1" applyAlignment="1">
      <alignment horizontal="center"/>
    </xf>
    <xf numFmtId="0" fontId="20" fillId="4" borderId="35" xfId="0" applyFont="1" applyFill="1" applyBorder="1" applyAlignment="1">
      <alignment horizontal="center" vertical="center" wrapText="1"/>
    </xf>
    <xf numFmtId="0" fontId="20" fillId="4" borderId="3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6"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117053</xdr:rowOff>
    </xdr:from>
    <xdr:ext cx="1133475" cy="156419"/>
    <xdr:pic>
      <xdr:nvPicPr>
        <xdr:cNvPr id="2" name="image5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4775" y="117053"/>
          <a:ext cx="1133475" cy="156419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548529</xdr:colOff>
      <xdr:row>51</xdr:row>
      <xdr:rowOff>512</xdr:rowOff>
    </xdr:from>
    <xdr:ext cx="1133475" cy="156419"/>
    <xdr:pic>
      <xdr:nvPicPr>
        <xdr:cNvPr id="7" name="image5.png">
          <a:extLst>
            <a:ext uri="{FF2B5EF4-FFF2-40B4-BE49-F238E27FC236}">
              <a16:creationId xmlns:a16="http://schemas.microsoft.com/office/drawing/2014/main" id="{0A2D945B-6329-47C8-B3DA-6B6C8BF1587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26882" y="10399571"/>
          <a:ext cx="1133475" cy="156419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117053</xdr:rowOff>
    </xdr:from>
    <xdr:ext cx="1133475" cy="156419"/>
    <xdr:pic>
      <xdr:nvPicPr>
        <xdr:cNvPr id="2" name="image5.png">
          <a:extLst>
            <a:ext uri="{FF2B5EF4-FFF2-40B4-BE49-F238E27FC236}">
              <a16:creationId xmlns:a16="http://schemas.microsoft.com/office/drawing/2014/main" id="{E13E029D-DAF1-4049-B9CA-8EBF4E7D65D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4775" y="117053"/>
          <a:ext cx="1133475" cy="156419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548529</xdr:colOff>
      <xdr:row>50</xdr:row>
      <xdr:rowOff>512</xdr:rowOff>
    </xdr:from>
    <xdr:ext cx="1133475" cy="156419"/>
    <xdr:pic>
      <xdr:nvPicPr>
        <xdr:cNvPr id="3" name="image5.png">
          <a:extLst>
            <a:ext uri="{FF2B5EF4-FFF2-40B4-BE49-F238E27FC236}">
              <a16:creationId xmlns:a16="http://schemas.microsoft.com/office/drawing/2014/main" id="{D3F26CAB-98C5-4186-B428-4B53F38B9A4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49854" y="12030587"/>
          <a:ext cx="1133475" cy="156419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117053</xdr:rowOff>
    </xdr:from>
    <xdr:ext cx="1133475" cy="156419"/>
    <xdr:pic>
      <xdr:nvPicPr>
        <xdr:cNvPr id="2" name="image5.png">
          <a:extLst>
            <a:ext uri="{FF2B5EF4-FFF2-40B4-BE49-F238E27FC236}">
              <a16:creationId xmlns:a16="http://schemas.microsoft.com/office/drawing/2014/main" id="{A119A1FA-F032-436D-93FA-604610E7B5C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4775" y="117053"/>
          <a:ext cx="1133475" cy="156419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447676</xdr:colOff>
      <xdr:row>24</xdr:row>
      <xdr:rowOff>437542</xdr:rowOff>
    </xdr:from>
    <xdr:ext cx="1133475" cy="156419"/>
    <xdr:pic>
      <xdr:nvPicPr>
        <xdr:cNvPr id="3" name="image5.png">
          <a:extLst>
            <a:ext uri="{FF2B5EF4-FFF2-40B4-BE49-F238E27FC236}">
              <a16:creationId xmlns:a16="http://schemas.microsoft.com/office/drawing/2014/main" id="{6F96F517-2D3A-4C7E-9838-3F43EF18390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205323" y="5581042"/>
          <a:ext cx="1133475" cy="156419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5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I1" sqref="I1:I1048576"/>
    </sheetView>
  </sheetViews>
  <sheetFormatPr defaultColWidth="14.42578125" defaultRowHeight="15" customHeight="1" x14ac:dyDescent="0.2"/>
  <cols>
    <col min="1" max="1" width="35.85546875" customWidth="1"/>
    <col min="2" max="2" width="15.28515625" customWidth="1"/>
    <col min="3" max="13" width="13.7109375" customWidth="1"/>
    <col min="14" max="14" width="2.28515625" customWidth="1"/>
    <col min="15" max="15" width="13.7109375" customWidth="1"/>
    <col min="16" max="17" width="14.42578125" customWidth="1"/>
  </cols>
  <sheetData>
    <row r="1" spans="1:26" ht="30.75" customHeight="1" x14ac:dyDescent="0.2">
      <c r="A1" s="1"/>
      <c r="B1" s="59" t="s">
        <v>32</v>
      </c>
      <c r="C1" s="2"/>
      <c r="D1" s="3"/>
      <c r="E1" s="3"/>
      <c r="F1" s="3"/>
      <c r="G1" s="3"/>
      <c r="H1" s="4"/>
      <c r="I1" s="4"/>
      <c r="J1" s="5"/>
      <c r="M1" s="6"/>
      <c r="N1" s="141"/>
      <c r="O1" s="142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.5" customHeight="1" x14ac:dyDescent="0.2">
      <c r="B2" s="143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8.75" customHeight="1" x14ac:dyDescent="0.2">
      <c r="A3" s="9" t="s">
        <v>0</v>
      </c>
      <c r="B3" s="10">
        <v>45078</v>
      </c>
      <c r="C3" s="10">
        <f t="shared" ref="C3:M3" si="0">EDATE(B3,1)</f>
        <v>45108</v>
      </c>
      <c r="D3" s="10">
        <f t="shared" si="0"/>
        <v>45139</v>
      </c>
      <c r="E3" s="10">
        <f t="shared" si="0"/>
        <v>45170</v>
      </c>
      <c r="F3" s="10">
        <f t="shared" si="0"/>
        <v>45200</v>
      </c>
      <c r="G3" s="10">
        <f t="shared" si="0"/>
        <v>45231</v>
      </c>
      <c r="H3" s="10">
        <f t="shared" si="0"/>
        <v>45261</v>
      </c>
      <c r="I3" s="10">
        <f t="shared" si="0"/>
        <v>45292</v>
      </c>
      <c r="J3" s="10">
        <f t="shared" si="0"/>
        <v>45323</v>
      </c>
      <c r="K3" s="10">
        <f t="shared" si="0"/>
        <v>45352</v>
      </c>
      <c r="L3" s="10">
        <f t="shared" si="0"/>
        <v>45383</v>
      </c>
      <c r="M3" s="10">
        <f t="shared" si="0"/>
        <v>45413</v>
      </c>
      <c r="N3" s="11"/>
      <c r="O3" s="12" t="s">
        <v>1</v>
      </c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9.75" customHeight="1" x14ac:dyDescent="0.2">
      <c r="A4" s="13"/>
      <c r="B4" s="144"/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/>
      <c r="O4" s="13"/>
      <c r="P4" s="14"/>
      <c r="Q4" s="14"/>
      <c r="R4" s="14"/>
      <c r="S4" s="14"/>
      <c r="T4" s="14"/>
      <c r="U4" s="8"/>
      <c r="V4" s="8"/>
      <c r="W4" s="8"/>
      <c r="X4" s="8"/>
      <c r="Y4" s="8"/>
      <c r="Z4" s="8"/>
    </row>
    <row r="5" spans="1:26" ht="17.25" customHeight="1" x14ac:dyDescent="0.2">
      <c r="A5" s="15" t="s">
        <v>12</v>
      </c>
      <c r="B5" s="16">
        <f>B13</f>
        <v>1849500</v>
      </c>
      <c r="C5" s="17"/>
      <c r="D5" s="17"/>
      <c r="E5" s="18"/>
      <c r="F5" s="18"/>
      <c r="G5" s="18"/>
      <c r="H5" s="18"/>
      <c r="I5" s="18"/>
      <c r="J5" s="17"/>
      <c r="K5" s="17"/>
      <c r="L5" s="17"/>
      <c r="M5" s="17"/>
      <c r="N5" s="142"/>
      <c r="O5" s="19">
        <f>SUM(B5:M5)</f>
        <v>1849500</v>
      </c>
      <c r="P5" s="14"/>
      <c r="Q5" s="14"/>
      <c r="R5" s="14"/>
      <c r="S5" s="14"/>
      <c r="T5" s="14"/>
      <c r="U5" s="20"/>
      <c r="V5" s="20"/>
      <c r="W5" s="20"/>
      <c r="X5" s="20"/>
      <c r="Y5" s="20"/>
      <c r="Z5" s="20"/>
    </row>
    <row r="6" spans="1:26" ht="17.25" customHeight="1" x14ac:dyDescent="0.2">
      <c r="A6" s="21"/>
      <c r="B6" s="145" t="s">
        <v>2</v>
      </c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21"/>
      <c r="P6" s="14"/>
      <c r="Q6" s="14"/>
      <c r="R6" s="14"/>
      <c r="S6" s="14"/>
      <c r="T6" s="14"/>
      <c r="U6" s="20"/>
      <c r="V6" s="20"/>
      <c r="W6" s="20"/>
      <c r="X6" s="20"/>
      <c r="Y6" s="20"/>
      <c r="Z6" s="20"/>
    </row>
    <row r="7" spans="1:26" ht="17.25" customHeight="1" x14ac:dyDescent="0.2">
      <c r="A7" s="22" t="s">
        <v>3</v>
      </c>
      <c r="B7" s="23">
        <f>B11*B12</f>
        <v>800000</v>
      </c>
      <c r="C7" s="23">
        <f t="shared" ref="C7:M7" si="1">C11*C12</f>
        <v>640000</v>
      </c>
      <c r="D7" s="23">
        <f t="shared" si="1"/>
        <v>704000</v>
      </c>
      <c r="E7" s="23">
        <f t="shared" si="1"/>
        <v>774400.00000000012</v>
      </c>
      <c r="F7" s="23">
        <f t="shared" si="1"/>
        <v>851840.00000000012</v>
      </c>
      <c r="G7" s="23">
        <f t="shared" si="1"/>
        <v>937024.00000000012</v>
      </c>
      <c r="H7" s="23">
        <f t="shared" si="1"/>
        <v>1030726.4</v>
      </c>
      <c r="I7" s="23">
        <f t="shared" si="1"/>
        <v>1082262.72</v>
      </c>
      <c r="J7" s="23">
        <f t="shared" si="1"/>
        <v>1093085.3472000002</v>
      </c>
      <c r="K7" s="23">
        <f t="shared" si="1"/>
        <v>1093085.3472000002</v>
      </c>
      <c r="L7" s="23">
        <f t="shared" si="1"/>
        <v>1093085.3472000002</v>
      </c>
      <c r="M7" s="23">
        <f t="shared" si="1"/>
        <v>1093085.3472000002</v>
      </c>
      <c r="N7" s="142"/>
      <c r="O7" s="23">
        <f t="shared" ref="O7:O8" si="2">SUM(B7:M7)</f>
        <v>11192594.508800002</v>
      </c>
      <c r="P7" s="14"/>
      <c r="Q7" s="14"/>
      <c r="R7" s="14"/>
      <c r="S7" s="14"/>
      <c r="T7" s="14"/>
      <c r="U7" s="20"/>
      <c r="V7" s="20"/>
      <c r="W7" s="20"/>
      <c r="X7" s="20"/>
      <c r="Y7" s="20"/>
      <c r="Z7" s="20"/>
    </row>
    <row r="8" spans="1:26" ht="17.25" customHeight="1" x14ac:dyDescent="0.2">
      <c r="A8" s="55" t="s">
        <v>29</v>
      </c>
      <c r="B8" s="25">
        <v>600</v>
      </c>
      <c r="C8" s="26">
        <v>500</v>
      </c>
      <c r="D8" s="26">
        <f>C8+50</f>
        <v>550</v>
      </c>
      <c r="E8" s="26">
        <f>D8+50</f>
        <v>600</v>
      </c>
      <c r="F8" s="26">
        <f>E8+50</f>
        <v>650</v>
      </c>
      <c r="G8" s="26">
        <f>F8+50</f>
        <v>700</v>
      </c>
      <c r="H8" s="26">
        <f>G8+50</f>
        <v>750</v>
      </c>
      <c r="I8" s="26">
        <f>H8+30</f>
        <v>780</v>
      </c>
      <c r="J8" s="26">
        <f>I8+10</f>
        <v>790</v>
      </c>
      <c r="K8" s="26">
        <f>J8</f>
        <v>790</v>
      </c>
      <c r="L8" s="26">
        <f t="shared" ref="L8:M8" si="3">K8</f>
        <v>790</v>
      </c>
      <c r="M8" s="26">
        <f t="shared" si="3"/>
        <v>790</v>
      </c>
      <c r="N8" s="142"/>
      <c r="O8" s="27">
        <f t="shared" si="2"/>
        <v>8290</v>
      </c>
      <c r="P8" s="14"/>
      <c r="Q8" s="14"/>
      <c r="R8" s="14"/>
      <c r="S8" s="14"/>
      <c r="T8" s="14"/>
      <c r="U8" s="20"/>
      <c r="V8" s="20"/>
      <c r="W8" s="20"/>
      <c r="X8" s="20"/>
      <c r="Y8" s="20"/>
      <c r="Z8" s="20"/>
    </row>
    <row r="9" spans="1:26" s="53" customFormat="1" ht="17.25" customHeight="1" x14ac:dyDescent="0.2">
      <c r="A9" s="58" t="s">
        <v>30</v>
      </c>
      <c r="B9" s="26">
        <v>40</v>
      </c>
      <c r="C9" s="26">
        <v>32</v>
      </c>
      <c r="D9" s="26">
        <f>C9+C9*10%</f>
        <v>35.200000000000003</v>
      </c>
      <c r="E9" s="26">
        <f t="shared" ref="E9:H9" si="4">D9+D9*10%</f>
        <v>38.720000000000006</v>
      </c>
      <c r="F9" s="26">
        <f t="shared" si="4"/>
        <v>42.592000000000006</v>
      </c>
      <c r="G9" s="26">
        <f t="shared" si="4"/>
        <v>46.851200000000006</v>
      </c>
      <c r="H9" s="26">
        <f t="shared" si="4"/>
        <v>51.536320000000003</v>
      </c>
      <c r="I9" s="26">
        <f>H9+H9*5%</f>
        <v>54.113136000000004</v>
      </c>
      <c r="J9" s="26">
        <f>I9+I9*1%</f>
        <v>54.654267360000006</v>
      </c>
      <c r="K9" s="26">
        <f>J9</f>
        <v>54.654267360000006</v>
      </c>
      <c r="L9" s="26">
        <f t="shared" ref="L9:M9" si="5">K9</f>
        <v>54.654267360000006</v>
      </c>
      <c r="M9" s="26">
        <f t="shared" si="5"/>
        <v>54.654267360000006</v>
      </c>
      <c r="N9" s="142"/>
      <c r="O9" s="54"/>
      <c r="P9" s="14"/>
      <c r="Q9" s="14"/>
      <c r="R9" s="14"/>
      <c r="S9" s="14"/>
      <c r="T9" s="14"/>
      <c r="U9" s="20"/>
      <c r="V9" s="20"/>
      <c r="W9" s="20"/>
      <c r="X9" s="20"/>
      <c r="Y9" s="20"/>
      <c r="Z9" s="20"/>
    </row>
    <row r="10" spans="1:26" ht="17.25" customHeight="1" x14ac:dyDescent="0.2">
      <c r="A10" s="55" t="s">
        <v>31</v>
      </c>
      <c r="B10" s="28">
        <f t="shared" ref="B10:M10" si="6">B9/B8*100</f>
        <v>6.666666666666667</v>
      </c>
      <c r="C10" s="28">
        <f t="shared" si="6"/>
        <v>6.4</v>
      </c>
      <c r="D10" s="28">
        <f t="shared" si="6"/>
        <v>6.4</v>
      </c>
      <c r="E10" s="28">
        <f t="shared" si="6"/>
        <v>6.4533333333333349</v>
      </c>
      <c r="F10" s="28">
        <f t="shared" si="6"/>
        <v>6.5526153846153861</v>
      </c>
      <c r="G10" s="28">
        <f t="shared" si="6"/>
        <v>6.693028571428572</v>
      </c>
      <c r="H10" s="28">
        <f t="shared" si="6"/>
        <v>6.8715093333333339</v>
      </c>
      <c r="I10" s="28">
        <f t="shared" si="6"/>
        <v>6.9375815384615391</v>
      </c>
      <c r="J10" s="28">
        <f t="shared" si="6"/>
        <v>6.9182616911392412</v>
      </c>
      <c r="K10" s="28">
        <f t="shared" si="6"/>
        <v>6.9182616911392412</v>
      </c>
      <c r="L10" s="28">
        <f t="shared" si="6"/>
        <v>6.9182616911392412</v>
      </c>
      <c r="M10" s="28">
        <f t="shared" si="6"/>
        <v>6.9182616911392412</v>
      </c>
      <c r="N10" s="142"/>
      <c r="O10" s="21"/>
      <c r="P10" s="14"/>
      <c r="Q10" s="14"/>
      <c r="R10" s="14"/>
      <c r="S10" s="14"/>
      <c r="T10" s="14"/>
      <c r="U10" s="20"/>
      <c r="V10" s="20"/>
      <c r="W10" s="20"/>
      <c r="X10" s="20"/>
      <c r="Y10" s="20"/>
      <c r="Z10" s="20"/>
    </row>
    <row r="11" spans="1:26" ht="17.25" customHeight="1" x14ac:dyDescent="0.2">
      <c r="A11" s="29" t="s">
        <v>4</v>
      </c>
      <c r="B11" s="30">
        <f>B9</f>
        <v>40</v>
      </c>
      <c r="C11" s="30">
        <f t="shared" ref="C11:M11" si="7">C9</f>
        <v>32</v>
      </c>
      <c r="D11" s="30">
        <f t="shared" si="7"/>
        <v>35.200000000000003</v>
      </c>
      <c r="E11" s="30">
        <f t="shared" si="7"/>
        <v>38.720000000000006</v>
      </c>
      <c r="F11" s="30">
        <f t="shared" si="7"/>
        <v>42.592000000000006</v>
      </c>
      <c r="G11" s="30">
        <f t="shared" si="7"/>
        <v>46.851200000000006</v>
      </c>
      <c r="H11" s="30">
        <f t="shared" si="7"/>
        <v>51.536320000000003</v>
      </c>
      <c r="I11" s="30">
        <f t="shared" si="7"/>
        <v>54.113136000000004</v>
      </c>
      <c r="J11" s="30">
        <f t="shared" si="7"/>
        <v>54.654267360000006</v>
      </c>
      <c r="K11" s="30">
        <f t="shared" si="7"/>
        <v>54.654267360000006</v>
      </c>
      <c r="L11" s="30">
        <f t="shared" si="7"/>
        <v>54.654267360000006</v>
      </c>
      <c r="M11" s="30">
        <f t="shared" si="7"/>
        <v>54.654267360000006</v>
      </c>
      <c r="N11" s="142"/>
      <c r="O11" s="31">
        <f>SUM(B11:M11)</f>
        <v>559.62972544000013</v>
      </c>
      <c r="P11" s="14"/>
      <c r="Q11" s="14"/>
      <c r="R11" s="14"/>
      <c r="S11" s="14"/>
      <c r="T11" s="14"/>
      <c r="U11" s="20"/>
      <c r="V11" s="20"/>
      <c r="W11" s="20"/>
      <c r="X11" s="20"/>
      <c r="Y11" s="20"/>
      <c r="Z11" s="20"/>
    </row>
    <row r="12" spans="1:26" ht="17.25" customHeight="1" x14ac:dyDescent="0.2">
      <c r="A12" s="24" t="s">
        <v>40</v>
      </c>
      <c r="B12" s="25">
        <v>20000</v>
      </c>
      <c r="C12" s="26">
        <f t="shared" ref="C12:D12" si="8">B12</f>
        <v>20000</v>
      </c>
      <c r="D12" s="26">
        <f t="shared" si="8"/>
        <v>20000</v>
      </c>
      <c r="E12" s="26">
        <f t="shared" ref="E12" si="9">D12</f>
        <v>20000</v>
      </c>
      <c r="F12" s="26">
        <f t="shared" ref="F12" si="10">E12</f>
        <v>20000</v>
      </c>
      <c r="G12" s="26">
        <f t="shared" ref="G12" si="11">F12</f>
        <v>20000</v>
      </c>
      <c r="H12" s="26">
        <f t="shared" ref="H12" si="12">G12</f>
        <v>20000</v>
      </c>
      <c r="I12" s="26">
        <f t="shared" ref="I12" si="13">H12</f>
        <v>20000</v>
      </c>
      <c r="J12" s="26">
        <f t="shared" ref="J12" si="14">I12</f>
        <v>20000</v>
      </c>
      <c r="K12" s="26">
        <f t="shared" ref="K12" si="15">J12</f>
        <v>20000</v>
      </c>
      <c r="L12" s="26">
        <f t="shared" ref="L12" si="16">K12</f>
        <v>20000</v>
      </c>
      <c r="M12" s="26">
        <f t="shared" ref="M12" si="17">L12</f>
        <v>20000</v>
      </c>
      <c r="N12" s="142"/>
      <c r="O12" s="32">
        <f>AVERAGE(B12:M12)</f>
        <v>20000</v>
      </c>
      <c r="P12" s="14"/>
      <c r="Q12" s="14"/>
      <c r="R12" s="14"/>
      <c r="S12" s="14"/>
      <c r="T12" s="14"/>
      <c r="U12" s="20"/>
      <c r="V12" s="20"/>
      <c r="W12" s="20"/>
      <c r="X12" s="20"/>
      <c r="Y12" s="20"/>
      <c r="Z12" s="20"/>
    </row>
    <row r="13" spans="1:26" ht="17.25" customHeight="1" x14ac:dyDescent="0.2">
      <c r="A13" s="33" t="s">
        <v>5</v>
      </c>
      <c r="B13" s="34">
        <f t="shared" ref="B13:M13" si="18">SUM(B14:B31)</f>
        <v>1849500</v>
      </c>
      <c r="C13" s="34">
        <f t="shared" si="18"/>
        <v>603500</v>
      </c>
      <c r="D13" s="34">
        <f t="shared" si="18"/>
        <v>609900</v>
      </c>
      <c r="E13" s="34">
        <f t="shared" si="18"/>
        <v>386940</v>
      </c>
      <c r="F13" s="34">
        <f t="shared" si="18"/>
        <v>394684</v>
      </c>
      <c r="G13" s="34">
        <f t="shared" si="18"/>
        <v>403202.4</v>
      </c>
      <c r="H13" s="34">
        <f t="shared" si="18"/>
        <v>412572.64</v>
      </c>
      <c r="I13" s="34">
        <f t="shared" si="18"/>
        <v>417726.272</v>
      </c>
      <c r="J13" s="34">
        <f t="shared" si="18"/>
        <v>418808.53472</v>
      </c>
      <c r="K13" s="34">
        <f t="shared" si="18"/>
        <v>418808.53472</v>
      </c>
      <c r="L13" s="34">
        <f t="shared" si="18"/>
        <v>418808.53472</v>
      </c>
      <c r="M13" s="34">
        <f t="shared" si="18"/>
        <v>418808.53472</v>
      </c>
      <c r="N13" s="142"/>
      <c r="O13" s="34">
        <f t="shared" ref="O13:O16" si="19">SUM(B13:M13)</f>
        <v>6753259.4508799994</v>
      </c>
      <c r="P13" s="14"/>
      <c r="Q13" s="14"/>
      <c r="R13" s="14"/>
      <c r="S13" s="14"/>
      <c r="T13" s="14"/>
      <c r="U13" s="20"/>
      <c r="V13" s="20"/>
      <c r="W13" s="20"/>
      <c r="X13" s="20"/>
      <c r="Y13" s="20"/>
      <c r="Z13" s="20"/>
    </row>
    <row r="14" spans="1:26" s="52" customFormat="1" ht="17.25" customHeight="1" x14ac:dyDescent="0.2">
      <c r="A14" s="24" t="s">
        <v>13</v>
      </c>
      <c r="B14" s="32">
        <v>45000</v>
      </c>
      <c r="C14" s="32">
        <v>45000</v>
      </c>
      <c r="D14" s="32">
        <v>45000</v>
      </c>
      <c r="E14" s="32">
        <v>45000</v>
      </c>
      <c r="F14" s="32">
        <v>45000</v>
      </c>
      <c r="G14" s="32">
        <v>45000</v>
      </c>
      <c r="H14" s="32">
        <v>45000</v>
      </c>
      <c r="I14" s="32">
        <v>45000</v>
      </c>
      <c r="J14" s="32">
        <v>45000</v>
      </c>
      <c r="K14" s="32">
        <v>45000</v>
      </c>
      <c r="L14" s="32">
        <v>45000</v>
      </c>
      <c r="M14" s="32">
        <v>45000</v>
      </c>
      <c r="N14" s="142"/>
      <c r="O14" s="27">
        <f t="shared" ref="O14" si="20">SUM(B14:M14)</f>
        <v>540000</v>
      </c>
      <c r="P14" s="14"/>
      <c r="Q14" s="14"/>
      <c r="R14" s="14"/>
      <c r="S14" s="14"/>
      <c r="T14" s="14"/>
      <c r="U14" s="20"/>
      <c r="V14" s="20"/>
      <c r="W14" s="20"/>
      <c r="X14" s="20"/>
      <c r="Y14" s="20"/>
      <c r="Z14" s="20"/>
    </row>
    <row r="15" spans="1:26" s="57" customFormat="1" ht="17.25" customHeight="1" x14ac:dyDescent="0.2">
      <c r="A15" s="55" t="s">
        <v>14</v>
      </c>
      <c r="B15" s="32">
        <f>B7*10/100</f>
        <v>80000</v>
      </c>
      <c r="C15" s="32">
        <f>C7*10/100</f>
        <v>64000</v>
      </c>
      <c r="D15" s="32">
        <f t="shared" ref="D15:M15" si="21">D7*10/100</f>
        <v>70400</v>
      </c>
      <c r="E15" s="32">
        <f t="shared" si="21"/>
        <v>77440.000000000015</v>
      </c>
      <c r="F15" s="32">
        <f t="shared" si="21"/>
        <v>85184.000000000015</v>
      </c>
      <c r="G15" s="32">
        <f t="shared" si="21"/>
        <v>93702.400000000023</v>
      </c>
      <c r="H15" s="32">
        <f t="shared" si="21"/>
        <v>103072.64</v>
      </c>
      <c r="I15" s="32">
        <f t="shared" si="21"/>
        <v>108226.272</v>
      </c>
      <c r="J15" s="32">
        <f t="shared" si="21"/>
        <v>109308.53472000003</v>
      </c>
      <c r="K15" s="32">
        <f t="shared" si="21"/>
        <v>109308.53472000003</v>
      </c>
      <c r="L15" s="32">
        <f t="shared" si="21"/>
        <v>109308.53472000003</v>
      </c>
      <c r="M15" s="32">
        <f t="shared" si="21"/>
        <v>109308.53472000003</v>
      </c>
      <c r="N15" s="142"/>
      <c r="O15" s="27">
        <f t="shared" ref="O15" si="22">SUM(B15:M15)</f>
        <v>1119259.4508800001</v>
      </c>
      <c r="P15" s="14"/>
      <c r="Q15" s="14"/>
      <c r="R15" s="14"/>
      <c r="S15" s="14"/>
      <c r="T15" s="14"/>
      <c r="U15" s="20"/>
      <c r="V15" s="20"/>
      <c r="W15" s="20"/>
      <c r="X15" s="20"/>
      <c r="Y15" s="20"/>
      <c r="Z15" s="20"/>
    </row>
    <row r="16" spans="1:26" ht="17.25" customHeight="1" x14ac:dyDescent="0.2">
      <c r="A16" s="55" t="s">
        <v>15</v>
      </c>
      <c r="B16" s="32">
        <v>20000</v>
      </c>
      <c r="C16" s="32">
        <v>0</v>
      </c>
      <c r="D16" s="32">
        <v>0</v>
      </c>
      <c r="E16" s="32">
        <v>20000</v>
      </c>
      <c r="F16" s="32">
        <v>20000</v>
      </c>
      <c r="G16" s="32">
        <v>20000</v>
      </c>
      <c r="H16" s="32">
        <v>20000</v>
      </c>
      <c r="I16" s="32">
        <v>20000</v>
      </c>
      <c r="J16" s="32">
        <v>20000</v>
      </c>
      <c r="K16" s="32">
        <v>20000</v>
      </c>
      <c r="L16" s="32">
        <v>20000</v>
      </c>
      <c r="M16" s="32">
        <v>20000</v>
      </c>
      <c r="N16" s="142"/>
      <c r="O16" s="27">
        <f t="shared" si="19"/>
        <v>200000</v>
      </c>
      <c r="P16" s="14"/>
      <c r="Q16" s="14"/>
      <c r="R16" s="14"/>
      <c r="S16" s="14"/>
      <c r="T16" s="14"/>
      <c r="U16" s="20"/>
      <c r="V16" s="20"/>
      <c r="W16" s="20"/>
      <c r="X16" s="20"/>
      <c r="Y16" s="20"/>
      <c r="Z16" s="20"/>
    </row>
    <row r="17" spans="1:26" ht="17.25" customHeight="1" x14ac:dyDescent="0.2">
      <c r="A17" s="35" t="s">
        <v>6</v>
      </c>
      <c r="B17" s="32">
        <f>7500*43%*20</f>
        <v>64500</v>
      </c>
      <c r="C17" s="32">
        <f t="shared" ref="C17:M17" si="23">7500*43%*20</f>
        <v>64500</v>
      </c>
      <c r="D17" s="32">
        <f t="shared" si="23"/>
        <v>64500</v>
      </c>
      <c r="E17" s="32">
        <f t="shared" si="23"/>
        <v>64500</v>
      </c>
      <c r="F17" s="32">
        <f t="shared" si="23"/>
        <v>64500</v>
      </c>
      <c r="G17" s="32">
        <f t="shared" si="23"/>
        <v>64500</v>
      </c>
      <c r="H17" s="32">
        <f t="shared" si="23"/>
        <v>64500</v>
      </c>
      <c r="I17" s="32">
        <f t="shared" si="23"/>
        <v>64500</v>
      </c>
      <c r="J17" s="32">
        <f t="shared" si="23"/>
        <v>64500</v>
      </c>
      <c r="K17" s="32">
        <f t="shared" si="23"/>
        <v>64500</v>
      </c>
      <c r="L17" s="32">
        <f t="shared" si="23"/>
        <v>64500</v>
      </c>
      <c r="M17" s="32">
        <f t="shared" si="23"/>
        <v>64500</v>
      </c>
      <c r="N17" s="142"/>
      <c r="O17" s="32">
        <f>O16*43%</f>
        <v>86000</v>
      </c>
      <c r="P17" s="14"/>
      <c r="Q17" s="14"/>
      <c r="R17" s="14"/>
      <c r="S17" s="14"/>
      <c r="T17" s="14"/>
      <c r="U17" s="20"/>
      <c r="V17" s="20"/>
      <c r="W17" s="20"/>
      <c r="X17" s="20"/>
      <c r="Y17" s="20"/>
      <c r="Z17" s="20"/>
    </row>
    <row r="18" spans="1:26" s="53" customFormat="1" ht="17.25" customHeight="1" x14ac:dyDescent="0.2">
      <c r="A18" s="56" t="s">
        <v>17</v>
      </c>
      <c r="B18" s="32">
        <v>100000</v>
      </c>
      <c r="C18" s="32">
        <v>100000</v>
      </c>
      <c r="D18" s="32">
        <v>100000</v>
      </c>
      <c r="E18" s="32">
        <v>100000</v>
      </c>
      <c r="F18" s="32">
        <v>100000</v>
      </c>
      <c r="G18" s="32">
        <v>100000</v>
      </c>
      <c r="H18" s="32">
        <v>100000</v>
      </c>
      <c r="I18" s="32">
        <v>100000</v>
      </c>
      <c r="J18" s="32">
        <v>100000</v>
      </c>
      <c r="K18" s="32">
        <v>100000</v>
      </c>
      <c r="L18" s="32">
        <v>100000</v>
      </c>
      <c r="M18" s="32">
        <v>100000</v>
      </c>
      <c r="N18" s="142"/>
      <c r="O18" s="32">
        <f>O17*43%</f>
        <v>36980</v>
      </c>
      <c r="P18" s="14"/>
      <c r="Q18" s="14"/>
      <c r="R18" s="14"/>
      <c r="S18" s="14"/>
      <c r="T18" s="14"/>
      <c r="U18" s="20"/>
      <c r="V18" s="20"/>
      <c r="W18" s="20"/>
      <c r="X18" s="20"/>
      <c r="Y18" s="20"/>
      <c r="Z18" s="20"/>
    </row>
    <row r="19" spans="1:26" s="53" customFormat="1" ht="17.25" customHeight="1" x14ac:dyDescent="0.2">
      <c r="A19" s="56" t="s">
        <v>18</v>
      </c>
      <c r="B19" s="32">
        <v>15000</v>
      </c>
      <c r="C19" s="32">
        <v>15000</v>
      </c>
      <c r="D19" s="32">
        <v>15000</v>
      </c>
      <c r="E19" s="32">
        <v>15000</v>
      </c>
      <c r="F19" s="32">
        <v>15000</v>
      </c>
      <c r="G19" s="32">
        <v>15000</v>
      </c>
      <c r="H19" s="32">
        <v>15000</v>
      </c>
      <c r="I19" s="32">
        <v>15000</v>
      </c>
      <c r="J19" s="32">
        <v>15000</v>
      </c>
      <c r="K19" s="32">
        <v>15000</v>
      </c>
      <c r="L19" s="32">
        <v>15000</v>
      </c>
      <c r="M19" s="32">
        <v>15000</v>
      </c>
      <c r="N19" s="142"/>
      <c r="O19" s="32">
        <f>O18*43%</f>
        <v>15901.4</v>
      </c>
      <c r="P19" s="14"/>
      <c r="Q19" s="14"/>
      <c r="R19" s="14"/>
      <c r="S19" s="14"/>
      <c r="T19" s="14"/>
      <c r="U19" s="20"/>
      <c r="V19" s="20"/>
      <c r="W19" s="20"/>
      <c r="X19" s="20"/>
      <c r="Y19" s="20"/>
      <c r="Z19" s="20"/>
    </row>
    <row r="20" spans="1:26" ht="17.25" customHeight="1" x14ac:dyDescent="0.2">
      <c r="A20" s="56" t="s">
        <v>16</v>
      </c>
      <c r="B20" s="32">
        <v>300000</v>
      </c>
      <c r="C20" s="32">
        <v>300000</v>
      </c>
      <c r="D20" s="32">
        <v>300000</v>
      </c>
      <c r="E20" s="32">
        <v>50000</v>
      </c>
      <c r="F20" s="32">
        <v>50000</v>
      </c>
      <c r="G20" s="32">
        <v>50000</v>
      </c>
      <c r="H20" s="32">
        <v>50000</v>
      </c>
      <c r="I20" s="32">
        <v>50000</v>
      </c>
      <c r="J20" s="32">
        <v>50000</v>
      </c>
      <c r="K20" s="32">
        <v>50000</v>
      </c>
      <c r="L20" s="32">
        <v>50000</v>
      </c>
      <c r="M20" s="32">
        <v>50000</v>
      </c>
      <c r="N20" s="142"/>
      <c r="O20" s="27">
        <f t="shared" ref="O20:O31" si="24">SUM(B20:M20)</f>
        <v>1350000</v>
      </c>
      <c r="P20" s="14"/>
      <c r="Q20" s="14"/>
      <c r="R20" s="14"/>
      <c r="S20" s="14"/>
      <c r="T20" s="14"/>
      <c r="U20" s="20"/>
      <c r="V20" s="20"/>
      <c r="W20" s="20"/>
      <c r="X20" s="20"/>
      <c r="Y20" s="20"/>
      <c r="Z20" s="20"/>
    </row>
    <row r="21" spans="1:26" s="52" customFormat="1" ht="17.25" customHeight="1" x14ac:dyDescent="0.2">
      <c r="A21" s="56" t="s">
        <v>19</v>
      </c>
      <c r="B21" s="32">
        <v>1500</v>
      </c>
      <c r="C21" s="32">
        <v>1500</v>
      </c>
      <c r="D21" s="32">
        <v>1500</v>
      </c>
      <c r="E21" s="32">
        <v>1500</v>
      </c>
      <c r="F21" s="32">
        <v>1500</v>
      </c>
      <c r="G21" s="32">
        <v>1500</v>
      </c>
      <c r="H21" s="32">
        <v>1500</v>
      </c>
      <c r="I21" s="32">
        <v>1500</v>
      </c>
      <c r="J21" s="32">
        <v>1500</v>
      </c>
      <c r="K21" s="32">
        <v>1500</v>
      </c>
      <c r="L21" s="32">
        <v>1500</v>
      </c>
      <c r="M21" s="32">
        <v>1500</v>
      </c>
      <c r="N21" s="142"/>
      <c r="O21" s="27">
        <f t="shared" ref="O21" si="25">SUM(B21:M21)</f>
        <v>18000</v>
      </c>
      <c r="P21" s="14"/>
      <c r="Q21" s="14"/>
      <c r="R21" s="14"/>
      <c r="S21" s="14"/>
      <c r="T21" s="14"/>
      <c r="U21" s="20"/>
      <c r="V21" s="20"/>
      <c r="W21" s="20"/>
      <c r="X21" s="20"/>
      <c r="Y21" s="20"/>
      <c r="Z21" s="20"/>
    </row>
    <row r="22" spans="1:26" ht="17.25" customHeight="1" x14ac:dyDescent="0.2">
      <c r="A22" s="56" t="s">
        <v>21</v>
      </c>
      <c r="B22" s="32">
        <v>9000</v>
      </c>
      <c r="C22" s="32">
        <v>9000</v>
      </c>
      <c r="D22" s="32">
        <v>9000</v>
      </c>
      <c r="E22" s="32">
        <v>9000</v>
      </c>
      <c r="F22" s="32">
        <v>9000</v>
      </c>
      <c r="G22" s="32">
        <v>9000</v>
      </c>
      <c r="H22" s="32">
        <v>9000</v>
      </c>
      <c r="I22" s="32">
        <v>9000</v>
      </c>
      <c r="J22" s="32">
        <v>9000</v>
      </c>
      <c r="K22" s="32">
        <v>9000</v>
      </c>
      <c r="L22" s="32">
        <v>9000</v>
      </c>
      <c r="M22" s="32">
        <v>9000</v>
      </c>
      <c r="N22" s="142"/>
      <c r="O22" s="27">
        <f t="shared" si="24"/>
        <v>108000</v>
      </c>
      <c r="P22" s="14"/>
      <c r="Q22" s="14"/>
      <c r="R22" s="14"/>
      <c r="S22" s="14"/>
      <c r="T22" s="14"/>
      <c r="U22" s="20"/>
      <c r="V22" s="20"/>
      <c r="W22" s="20"/>
      <c r="X22" s="20"/>
      <c r="Y22" s="20"/>
      <c r="Z22" s="20"/>
    </row>
    <row r="23" spans="1:26" s="53" customFormat="1" ht="17.25" customHeight="1" x14ac:dyDescent="0.2">
      <c r="A23" s="56" t="s">
        <v>20</v>
      </c>
      <c r="B23" s="32">
        <v>4500</v>
      </c>
      <c r="C23" s="32">
        <v>4500</v>
      </c>
      <c r="D23" s="32">
        <v>4500</v>
      </c>
      <c r="E23" s="32">
        <v>4500</v>
      </c>
      <c r="F23" s="32">
        <v>4500</v>
      </c>
      <c r="G23" s="32">
        <v>4500</v>
      </c>
      <c r="H23" s="32">
        <v>4500</v>
      </c>
      <c r="I23" s="32">
        <v>4500</v>
      </c>
      <c r="J23" s="32">
        <v>4500</v>
      </c>
      <c r="K23" s="32">
        <v>4500</v>
      </c>
      <c r="L23" s="32">
        <v>4500</v>
      </c>
      <c r="M23" s="32">
        <v>4500</v>
      </c>
      <c r="N23" s="142"/>
      <c r="O23" s="27">
        <f t="shared" si="24"/>
        <v>54000</v>
      </c>
      <c r="P23" s="14"/>
      <c r="Q23" s="14"/>
      <c r="R23" s="14"/>
      <c r="S23" s="14"/>
      <c r="T23" s="14"/>
      <c r="U23" s="20"/>
      <c r="V23" s="20"/>
      <c r="W23" s="20"/>
      <c r="X23" s="20"/>
      <c r="Y23" s="20"/>
      <c r="Z23" s="20"/>
    </row>
    <row r="24" spans="1:26" s="52" customFormat="1" ht="17.25" customHeight="1" x14ac:dyDescent="0.2">
      <c r="A24" s="56" t="s">
        <v>22</v>
      </c>
      <c r="B24" s="32">
        <v>80000</v>
      </c>
      <c r="C24" s="32">
        <v>0</v>
      </c>
      <c r="D24" s="32">
        <f t="shared" ref="D24:M27" si="26">C24</f>
        <v>0</v>
      </c>
      <c r="E24" s="32">
        <f t="shared" si="26"/>
        <v>0</v>
      </c>
      <c r="F24" s="32">
        <f t="shared" si="26"/>
        <v>0</v>
      </c>
      <c r="G24" s="32">
        <f t="shared" si="26"/>
        <v>0</v>
      </c>
      <c r="H24" s="32">
        <f t="shared" si="26"/>
        <v>0</v>
      </c>
      <c r="I24" s="32">
        <f t="shared" si="26"/>
        <v>0</v>
      </c>
      <c r="J24" s="32">
        <f t="shared" si="26"/>
        <v>0</v>
      </c>
      <c r="K24" s="32">
        <f t="shared" si="26"/>
        <v>0</v>
      </c>
      <c r="L24" s="32">
        <f t="shared" si="26"/>
        <v>0</v>
      </c>
      <c r="M24" s="32">
        <f t="shared" si="26"/>
        <v>0</v>
      </c>
      <c r="N24" s="142"/>
      <c r="O24" s="27">
        <f t="shared" ref="O24:O25" si="27">SUM(B24:M24)</f>
        <v>80000</v>
      </c>
      <c r="P24" s="14"/>
      <c r="Q24" s="14"/>
      <c r="R24" s="14"/>
      <c r="S24" s="14"/>
      <c r="T24" s="14"/>
      <c r="U24" s="20"/>
      <c r="V24" s="20"/>
      <c r="W24" s="20"/>
      <c r="X24" s="20"/>
      <c r="Y24" s="20"/>
      <c r="Z24" s="20"/>
    </row>
    <row r="25" spans="1:26" s="57" customFormat="1" ht="17.25" customHeight="1" x14ac:dyDescent="0.2">
      <c r="A25" s="56" t="s">
        <v>23</v>
      </c>
      <c r="B25" s="32">
        <v>500000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142"/>
      <c r="O25" s="27">
        <f t="shared" si="27"/>
        <v>500000</v>
      </c>
      <c r="P25" s="14"/>
      <c r="Q25" s="14"/>
      <c r="R25" s="14"/>
      <c r="S25" s="14"/>
      <c r="T25" s="14"/>
      <c r="U25" s="20"/>
      <c r="V25" s="20"/>
      <c r="W25" s="20"/>
      <c r="X25" s="20"/>
      <c r="Y25" s="20"/>
      <c r="Z25" s="20"/>
    </row>
    <row r="26" spans="1:26" s="52" customFormat="1" ht="17.25" customHeight="1" x14ac:dyDescent="0.2">
      <c r="A26" s="56" t="s">
        <v>38</v>
      </c>
      <c r="B26" s="32">
        <v>300000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142"/>
      <c r="O26" s="27">
        <f t="shared" ref="O26:O27" si="28">SUM(B26:M26)</f>
        <v>300000</v>
      </c>
      <c r="P26" s="14"/>
      <c r="Q26" s="14"/>
      <c r="R26" s="14"/>
      <c r="S26" s="14"/>
      <c r="T26" s="14"/>
      <c r="U26" s="20"/>
      <c r="V26" s="20"/>
      <c r="W26" s="20"/>
      <c r="X26" s="20"/>
      <c r="Y26" s="20"/>
      <c r="Z26" s="20"/>
    </row>
    <row r="27" spans="1:26" s="52" customFormat="1" ht="17.25" customHeight="1" x14ac:dyDescent="0.2">
      <c r="A27" s="56" t="s">
        <v>24</v>
      </c>
      <c r="B27" s="32">
        <v>90000</v>
      </c>
      <c r="C27" s="32">
        <v>0</v>
      </c>
      <c r="D27" s="32">
        <f t="shared" si="26"/>
        <v>0</v>
      </c>
      <c r="E27" s="32">
        <f t="shared" si="26"/>
        <v>0</v>
      </c>
      <c r="F27" s="32">
        <f t="shared" si="26"/>
        <v>0</v>
      </c>
      <c r="G27" s="32">
        <f t="shared" si="26"/>
        <v>0</v>
      </c>
      <c r="H27" s="32">
        <f t="shared" si="26"/>
        <v>0</v>
      </c>
      <c r="I27" s="32">
        <f t="shared" si="26"/>
        <v>0</v>
      </c>
      <c r="J27" s="32">
        <f t="shared" si="26"/>
        <v>0</v>
      </c>
      <c r="K27" s="32">
        <f t="shared" si="26"/>
        <v>0</v>
      </c>
      <c r="L27" s="32">
        <f t="shared" si="26"/>
        <v>0</v>
      </c>
      <c r="M27" s="32">
        <f t="shared" si="26"/>
        <v>0</v>
      </c>
      <c r="N27" s="142"/>
      <c r="O27" s="27">
        <f t="shared" si="28"/>
        <v>90000</v>
      </c>
      <c r="P27" s="14"/>
      <c r="Q27" s="14"/>
      <c r="R27" s="14"/>
      <c r="S27" s="14"/>
      <c r="T27" s="14"/>
      <c r="U27" s="20"/>
      <c r="V27" s="20"/>
      <c r="W27" s="20"/>
      <c r="X27" s="20"/>
      <c r="Y27" s="20"/>
      <c r="Z27" s="20"/>
    </row>
    <row r="28" spans="1:26" ht="17.25" customHeight="1" x14ac:dyDescent="0.2">
      <c r="A28" s="56" t="s">
        <v>25</v>
      </c>
      <c r="B28" s="32">
        <v>105000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142"/>
      <c r="O28" s="27">
        <f t="shared" si="24"/>
        <v>105000</v>
      </c>
      <c r="P28" s="14"/>
      <c r="Q28" s="14"/>
      <c r="R28" s="14"/>
      <c r="S28" s="14"/>
      <c r="T28" s="14"/>
      <c r="U28" s="20"/>
      <c r="V28" s="20"/>
      <c r="W28" s="20"/>
      <c r="X28" s="20"/>
      <c r="Y28" s="20"/>
      <c r="Z28" s="20"/>
    </row>
    <row r="29" spans="1:26" s="57" customFormat="1" ht="17.25" customHeight="1" x14ac:dyDescent="0.2">
      <c r="A29" s="56" t="s">
        <v>26</v>
      </c>
      <c r="B29" s="32">
        <v>5000</v>
      </c>
      <c r="C29" s="32">
        <f t="shared" ref="C29:M29" si="29">C6*6%</f>
        <v>0</v>
      </c>
      <c r="D29" s="32">
        <f t="shared" si="29"/>
        <v>0</v>
      </c>
      <c r="E29" s="32">
        <f t="shared" si="29"/>
        <v>0</v>
      </c>
      <c r="F29" s="32">
        <f t="shared" si="29"/>
        <v>0</v>
      </c>
      <c r="G29" s="32">
        <f t="shared" si="29"/>
        <v>0</v>
      </c>
      <c r="H29" s="32">
        <f t="shared" si="29"/>
        <v>0</v>
      </c>
      <c r="I29" s="32">
        <f t="shared" si="29"/>
        <v>0</v>
      </c>
      <c r="J29" s="32">
        <f t="shared" si="29"/>
        <v>0</v>
      </c>
      <c r="K29" s="32">
        <f t="shared" si="29"/>
        <v>0</v>
      </c>
      <c r="L29" s="32">
        <f t="shared" si="29"/>
        <v>0</v>
      </c>
      <c r="M29" s="32">
        <f t="shared" si="29"/>
        <v>0</v>
      </c>
      <c r="N29" s="142"/>
      <c r="O29" s="32">
        <f t="shared" ref="O29:O30" si="30">SUM(B29:M29)</f>
        <v>5000</v>
      </c>
      <c r="P29" s="14"/>
      <c r="Q29" s="14"/>
      <c r="R29" s="14"/>
      <c r="S29" s="14"/>
      <c r="T29" s="14"/>
      <c r="U29" s="20"/>
      <c r="V29" s="20"/>
      <c r="W29" s="20"/>
      <c r="X29" s="20"/>
      <c r="Y29" s="20"/>
      <c r="Z29" s="20"/>
    </row>
    <row r="30" spans="1:26" s="57" customFormat="1" ht="17.25" customHeight="1" x14ac:dyDescent="0.2">
      <c r="A30" s="56" t="s">
        <v>28</v>
      </c>
      <c r="B30" s="32">
        <v>100000</v>
      </c>
      <c r="C30" s="32">
        <f t="shared" ref="C30:M30" si="31">C6*6%</f>
        <v>0</v>
      </c>
      <c r="D30" s="32">
        <f t="shared" si="31"/>
        <v>0</v>
      </c>
      <c r="E30" s="32">
        <f t="shared" si="31"/>
        <v>0</v>
      </c>
      <c r="F30" s="32">
        <f t="shared" si="31"/>
        <v>0</v>
      </c>
      <c r="G30" s="32">
        <f t="shared" si="31"/>
        <v>0</v>
      </c>
      <c r="H30" s="32">
        <f t="shared" si="31"/>
        <v>0</v>
      </c>
      <c r="I30" s="32">
        <f t="shared" si="31"/>
        <v>0</v>
      </c>
      <c r="J30" s="32">
        <f t="shared" si="31"/>
        <v>0</v>
      </c>
      <c r="K30" s="32">
        <f t="shared" si="31"/>
        <v>0</v>
      </c>
      <c r="L30" s="32">
        <f t="shared" si="31"/>
        <v>0</v>
      </c>
      <c r="M30" s="32">
        <f t="shared" si="31"/>
        <v>0</v>
      </c>
      <c r="N30" s="142"/>
      <c r="O30" s="32">
        <f t="shared" si="30"/>
        <v>100000</v>
      </c>
      <c r="P30" s="14"/>
      <c r="Q30" s="14"/>
      <c r="R30" s="14"/>
      <c r="S30" s="14"/>
      <c r="T30" s="14"/>
      <c r="U30" s="20"/>
      <c r="V30" s="20"/>
      <c r="W30" s="20"/>
      <c r="X30" s="20"/>
      <c r="Y30" s="20"/>
      <c r="Z30" s="20"/>
    </row>
    <row r="31" spans="1:26" ht="17.25" customHeight="1" x14ac:dyDescent="0.2">
      <c r="A31" s="56" t="s">
        <v>27</v>
      </c>
      <c r="B31" s="32">
        <v>30000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142"/>
      <c r="O31" s="32">
        <f t="shared" si="24"/>
        <v>30000</v>
      </c>
      <c r="P31" s="14"/>
      <c r="Q31" s="14"/>
      <c r="R31" s="14"/>
      <c r="S31" s="14"/>
      <c r="T31" s="14"/>
      <c r="U31" s="20"/>
      <c r="V31" s="20"/>
      <c r="W31" s="20"/>
      <c r="X31" s="20"/>
      <c r="Y31" s="20"/>
      <c r="Z31" s="20"/>
    </row>
    <row r="32" spans="1:26" ht="17.25" customHeight="1" x14ac:dyDescent="0.2">
      <c r="A32" s="36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142"/>
      <c r="O32" s="27"/>
      <c r="P32" s="14"/>
      <c r="Q32" s="14"/>
      <c r="R32" s="14"/>
      <c r="S32" s="14"/>
      <c r="T32" s="14"/>
      <c r="U32" s="20"/>
      <c r="V32" s="20"/>
      <c r="W32" s="20"/>
      <c r="X32" s="20"/>
      <c r="Y32" s="20"/>
      <c r="Z32" s="20"/>
    </row>
    <row r="33" spans="1:26" ht="17.25" customHeight="1" x14ac:dyDescent="0.2">
      <c r="A33" s="37" t="s">
        <v>7</v>
      </c>
      <c r="B33" s="38">
        <f t="shared" ref="B33:M33" si="32">B7-B13</f>
        <v>-1049500</v>
      </c>
      <c r="C33" s="38">
        <f t="shared" si="32"/>
        <v>36500</v>
      </c>
      <c r="D33" s="38">
        <f t="shared" si="32"/>
        <v>94100</v>
      </c>
      <c r="E33" s="38">
        <f t="shared" si="32"/>
        <v>387460.00000000012</v>
      </c>
      <c r="F33" s="38">
        <f t="shared" si="32"/>
        <v>457156.00000000012</v>
      </c>
      <c r="G33" s="38">
        <f t="shared" si="32"/>
        <v>533821.60000000009</v>
      </c>
      <c r="H33" s="38">
        <f t="shared" si="32"/>
        <v>618153.76</v>
      </c>
      <c r="I33" s="38">
        <f t="shared" si="32"/>
        <v>664536.44799999997</v>
      </c>
      <c r="J33" s="39">
        <f t="shared" si="32"/>
        <v>674276.8124800002</v>
      </c>
      <c r="K33" s="39">
        <f t="shared" si="32"/>
        <v>674276.8124800002</v>
      </c>
      <c r="L33" s="39">
        <f t="shared" si="32"/>
        <v>674276.8124800002</v>
      </c>
      <c r="M33" s="39">
        <f t="shared" si="32"/>
        <v>674276.8124800002</v>
      </c>
      <c r="N33" s="142"/>
      <c r="O33" s="39">
        <f>SUM(B33:M33)</f>
        <v>4439335.0579200014</v>
      </c>
      <c r="P33" s="14"/>
      <c r="Q33" s="14"/>
      <c r="R33" s="14"/>
      <c r="S33" s="14"/>
      <c r="T33" s="14"/>
      <c r="U33" s="20"/>
      <c r="V33" s="20"/>
      <c r="W33" s="20"/>
      <c r="X33" s="20"/>
      <c r="Y33" s="20"/>
      <c r="Z33" s="20"/>
    </row>
    <row r="34" spans="1:26" ht="17.25" customHeight="1" x14ac:dyDescent="0.2">
      <c r="A34" s="35" t="s">
        <v>8</v>
      </c>
      <c r="B34" s="40">
        <f t="shared" ref="B34:M34" si="33">B33/B7*100%</f>
        <v>-1.3118749999999999</v>
      </c>
      <c r="C34" s="40">
        <f t="shared" si="33"/>
        <v>5.7031249999999999E-2</v>
      </c>
      <c r="D34" s="40">
        <f t="shared" si="33"/>
        <v>0.13366477272727273</v>
      </c>
      <c r="E34" s="40">
        <f t="shared" si="33"/>
        <v>0.50033574380165302</v>
      </c>
      <c r="F34" s="40">
        <f t="shared" si="33"/>
        <v>0.53666885800150266</v>
      </c>
      <c r="G34" s="40">
        <f t="shared" si="33"/>
        <v>0.56969896181954782</v>
      </c>
      <c r="H34" s="40">
        <f t="shared" si="33"/>
        <v>0.59972632892686162</v>
      </c>
      <c r="I34" s="40">
        <f t="shared" si="33"/>
        <v>0.61402507516843974</v>
      </c>
      <c r="J34" s="40">
        <f t="shared" si="33"/>
        <v>0.6168565100677621</v>
      </c>
      <c r="K34" s="40">
        <f t="shared" si="33"/>
        <v>0.6168565100677621</v>
      </c>
      <c r="L34" s="40">
        <f t="shared" si="33"/>
        <v>0.6168565100677621</v>
      </c>
      <c r="M34" s="40">
        <f t="shared" si="33"/>
        <v>0.6168565100677621</v>
      </c>
      <c r="N34" s="142"/>
      <c r="O34" s="40">
        <f>O33/O7*100%</f>
        <v>0.39663145613196688</v>
      </c>
      <c r="P34" s="14"/>
      <c r="Q34" s="14"/>
      <c r="R34" s="14"/>
      <c r="S34" s="14"/>
      <c r="T34" s="14"/>
      <c r="U34" s="20"/>
      <c r="V34" s="20"/>
      <c r="W34" s="20"/>
      <c r="X34" s="20"/>
      <c r="Y34" s="20"/>
      <c r="Z34" s="20"/>
    </row>
    <row r="35" spans="1:26" ht="17.25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142"/>
      <c r="O35" s="21"/>
      <c r="P35" s="14"/>
      <c r="Q35" s="14"/>
      <c r="R35" s="14"/>
      <c r="S35" s="14"/>
      <c r="T35" s="14"/>
      <c r="U35" s="20"/>
      <c r="V35" s="20"/>
      <c r="W35" s="20"/>
      <c r="X35" s="20"/>
      <c r="Y35" s="20"/>
      <c r="Z35" s="20"/>
    </row>
    <row r="36" spans="1:26" ht="17.25" customHeight="1" x14ac:dyDescent="0.2">
      <c r="A36" s="15" t="s">
        <v>9</v>
      </c>
      <c r="B36" s="41"/>
      <c r="C36" s="42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142"/>
      <c r="O36" s="43"/>
      <c r="P36" s="14"/>
      <c r="Q36" s="14"/>
      <c r="R36" s="14"/>
      <c r="S36" s="14"/>
      <c r="T36" s="14"/>
      <c r="U36" s="20"/>
      <c r="V36" s="20"/>
      <c r="W36" s="20"/>
      <c r="X36" s="20"/>
      <c r="Y36" s="20"/>
      <c r="Z36" s="20"/>
    </row>
    <row r="37" spans="1:26" ht="17.25" customHeight="1" x14ac:dyDescent="0.2">
      <c r="A37" s="35" t="s">
        <v>10</v>
      </c>
      <c r="B37" s="32">
        <v>0</v>
      </c>
      <c r="C37" s="27">
        <f t="shared" ref="C37:M37" si="34">B38</f>
        <v>800000</v>
      </c>
      <c r="D37" s="27">
        <f t="shared" si="34"/>
        <v>836500</v>
      </c>
      <c r="E37" s="27">
        <f t="shared" si="34"/>
        <v>930600</v>
      </c>
      <c r="F37" s="44">
        <f t="shared" si="34"/>
        <v>1318060</v>
      </c>
      <c r="G37" s="27">
        <f t="shared" si="34"/>
        <v>1775216</v>
      </c>
      <c r="H37" s="27">
        <f t="shared" si="34"/>
        <v>2309037.6</v>
      </c>
      <c r="I37" s="27">
        <f t="shared" si="34"/>
        <v>2927191.3600000003</v>
      </c>
      <c r="J37" s="27">
        <f t="shared" si="34"/>
        <v>3591727.8080000002</v>
      </c>
      <c r="K37" s="27">
        <f t="shared" si="34"/>
        <v>4266004.62048</v>
      </c>
      <c r="L37" s="27">
        <f t="shared" si="34"/>
        <v>4940281.4329599999</v>
      </c>
      <c r="M37" s="27">
        <f t="shared" si="34"/>
        <v>5614558.2454399997</v>
      </c>
      <c r="N37" s="142"/>
      <c r="O37" s="32">
        <f>B37</f>
        <v>0</v>
      </c>
      <c r="P37" s="14"/>
      <c r="Q37" s="14"/>
      <c r="R37" s="14"/>
      <c r="S37" s="14"/>
      <c r="T37" s="14"/>
      <c r="U37" s="20"/>
      <c r="V37" s="20"/>
      <c r="W37" s="20"/>
      <c r="X37" s="20"/>
      <c r="Y37" s="20"/>
      <c r="Z37" s="20"/>
    </row>
    <row r="38" spans="1:26" ht="17.25" customHeight="1" x14ac:dyDescent="0.2">
      <c r="A38" s="35" t="s">
        <v>11</v>
      </c>
      <c r="B38" s="32">
        <f t="shared" ref="B38:M38" si="35">B37+B5+B33</f>
        <v>800000</v>
      </c>
      <c r="C38" s="32">
        <f t="shared" si="35"/>
        <v>836500</v>
      </c>
      <c r="D38" s="32">
        <f t="shared" si="35"/>
        <v>930600</v>
      </c>
      <c r="E38" s="45">
        <f t="shared" si="35"/>
        <v>1318060</v>
      </c>
      <c r="F38" s="32">
        <f t="shared" si="35"/>
        <v>1775216</v>
      </c>
      <c r="G38" s="32">
        <f t="shared" si="35"/>
        <v>2309037.6</v>
      </c>
      <c r="H38" s="32">
        <f t="shared" si="35"/>
        <v>2927191.3600000003</v>
      </c>
      <c r="I38" s="32">
        <f t="shared" si="35"/>
        <v>3591727.8080000002</v>
      </c>
      <c r="J38" s="32">
        <f t="shared" si="35"/>
        <v>4266004.62048</v>
      </c>
      <c r="K38" s="32">
        <f t="shared" si="35"/>
        <v>4940281.4329599999</v>
      </c>
      <c r="L38" s="32">
        <f t="shared" si="35"/>
        <v>5614558.2454399997</v>
      </c>
      <c r="M38" s="32">
        <f t="shared" si="35"/>
        <v>6288835.0579199996</v>
      </c>
      <c r="N38" s="142"/>
      <c r="O38" s="32">
        <f>M38</f>
        <v>6288835.0579199996</v>
      </c>
      <c r="P38" s="14"/>
      <c r="Q38" s="14"/>
      <c r="R38" s="14"/>
      <c r="S38" s="14"/>
      <c r="T38" s="14"/>
      <c r="U38" s="20"/>
      <c r="V38" s="20"/>
      <c r="W38" s="20"/>
      <c r="X38" s="20"/>
      <c r="Y38" s="20"/>
      <c r="Z38" s="20"/>
    </row>
    <row r="39" spans="1:26" ht="13.5" customHeight="1" x14ac:dyDescent="0.2">
      <c r="A39" s="146"/>
      <c r="B39" s="147"/>
      <c r="C39" s="142"/>
      <c r="D39" s="142"/>
      <c r="E39" s="142"/>
      <c r="F39" s="142"/>
      <c r="G39" s="142"/>
      <c r="H39" s="142"/>
      <c r="I39" s="142"/>
      <c r="J39" s="142"/>
      <c r="K39" s="142"/>
      <c r="L39" s="142"/>
      <c r="M39" s="142"/>
      <c r="N39" s="142"/>
      <c r="O39" s="142"/>
      <c r="P39" s="14"/>
      <c r="Q39" s="14"/>
      <c r="R39" s="14"/>
      <c r="S39" s="14"/>
      <c r="T39" s="14"/>
      <c r="U39" s="8"/>
      <c r="V39" s="8"/>
      <c r="W39" s="8"/>
      <c r="X39" s="8"/>
      <c r="Y39" s="8"/>
      <c r="Z39" s="8"/>
    </row>
    <row r="40" spans="1:26" ht="13.5" customHeight="1" x14ac:dyDescent="0.2">
      <c r="A40" s="142"/>
      <c r="B40" s="142"/>
      <c r="C40" s="142"/>
      <c r="D40" s="142"/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142"/>
      <c r="P40" s="14"/>
      <c r="Q40" s="14"/>
      <c r="R40" s="14"/>
      <c r="S40" s="14"/>
      <c r="T40" s="14"/>
      <c r="U40" s="8"/>
      <c r="V40" s="8"/>
      <c r="W40" s="8"/>
      <c r="X40" s="8"/>
      <c r="Y40" s="8"/>
      <c r="Z40" s="8"/>
    </row>
    <row r="41" spans="1:26" ht="42.75" customHeight="1" x14ac:dyDescent="0.25">
      <c r="A41" s="142"/>
      <c r="B41" s="163" t="s">
        <v>33</v>
      </c>
      <c r="C41" s="164"/>
      <c r="D41" s="164"/>
      <c r="E41" s="164"/>
      <c r="F41" s="164"/>
      <c r="G41" s="164"/>
      <c r="H41" s="165"/>
      <c r="I41" s="148" t="s">
        <v>35</v>
      </c>
      <c r="J41" s="149"/>
      <c r="K41" s="149"/>
      <c r="L41" s="149"/>
      <c r="M41" s="149"/>
      <c r="N41" s="149"/>
      <c r="O41" s="150"/>
      <c r="P41" s="14"/>
      <c r="Q41" s="14"/>
      <c r="R41" s="14"/>
      <c r="S41" s="14"/>
      <c r="T41" s="14"/>
      <c r="U41" s="8"/>
      <c r="V41" s="8"/>
      <c r="W41" s="8"/>
      <c r="X41" s="8"/>
      <c r="Y41" s="8"/>
      <c r="Z41" s="8"/>
    </row>
    <row r="42" spans="1:26" ht="41.25" customHeight="1" x14ac:dyDescent="0.2">
      <c r="A42" s="142"/>
      <c r="B42" s="166"/>
      <c r="C42" s="167"/>
      <c r="D42" s="167"/>
      <c r="E42" s="167"/>
      <c r="F42" s="167"/>
      <c r="G42" s="167"/>
      <c r="H42" s="168"/>
      <c r="I42" s="160" t="s">
        <v>36</v>
      </c>
      <c r="J42" s="161"/>
      <c r="K42" s="161"/>
      <c r="L42" s="161"/>
      <c r="M42" s="161"/>
      <c r="N42" s="161"/>
      <c r="O42" s="162"/>
      <c r="P42" s="14"/>
      <c r="Q42" s="14"/>
      <c r="R42" s="14"/>
      <c r="S42" s="14"/>
      <c r="T42" s="14"/>
      <c r="U42" s="8"/>
      <c r="V42" s="8"/>
      <c r="W42" s="8"/>
      <c r="X42" s="8"/>
      <c r="Y42" s="8"/>
      <c r="Z42" s="8"/>
    </row>
    <row r="43" spans="1:26" ht="12" customHeight="1" x14ac:dyDescent="0.2">
      <c r="A43" s="142"/>
      <c r="B43" s="166"/>
      <c r="C43" s="167"/>
      <c r="D43" s="167"/>
      <c r="E43" s="167"/>
      <c r="F43" s="167"/>
      <c r="G43" s="167"/>
      <c r="H43" s="168"/>
      <c r="I43" s="151" t="s">
        <v>37</v>
      </c>
      <c r="J43" s="152"/>
      <c r="K43" s="152"/>
      <c r="L43" s="152"/>
      <c r="M43" s="152"/>
      <c r="N43" s="152"/>
      <c r="O43" s="153"/>
      <c r="P43" s="14"/>
      <c r="Q43" s="14"/>
      <c r="R43" s="14"/>
      <c r="S43" s="14"/>
      <c r="T43" s="14"/>
      <c r="U43" s="8"/>
      <c r="V43" s="8"/>
      <c r="W43" s="8"/>
      <c r="X43" s="8"/>
      <c r="Y43" s="8"/>
      <c r="Z43" s="8"/>
    </row>
    <row r="44" spans="1:26" ht="2.25" customHeight="1" x14ac:dyDescent="0.2">
      <c r="A44" s="142"/>
      <c r="B44" s="169"/>
      <c r="C44" s="170"/>
      <c r="D44" s="170"/>
      <c r="E44" s="170"/>
      <c r="F44" s="170"/>
      <c r="G44" s="170"/>
      <c r="H44" s="171"/>
      <c r="I44" s="154"/>
      <c r="J44" s="155"/>
      <c r="K44" s="155"/>
      <c r="L44" s="155"/>
      <c r="M44" s="155"/>
      <c r="N44" s="155"/>
      <c r="O44" s="156"/>
      <c r="P44" s="14"/>
      <c r="Q44" s="14"/>
      <c r="R44" s="14"/>
      <c r="S44" s="14"/>
      <c r="T44" s="14"/>
      <c r="U44" s="8"/>
      <c r="V44" s="8"/>
      <c r="W44" s="8"/>
      <c r="X44" s="8"/>
      <c r="Y44" s="8"/>
      <c r="Z44" s="8"/>
    </row>
    <row r="45" spans="1:26" ht="21" customHeight="1" x14ac:dyDescent="0.2">
      <c r="A45" s="142"/>
      <c r="B45" s="172" t="s">
        <v>39</v>
      </c>
      <c r="C45" s="173"/>
      <c r="D45" s="173"/>
      <c r="E45" s="173"/>
      <c r="F45" s="173"/>
      <c r="G45" s="173"/>
      <c r="H45" s="174"/>
      <c r="I45" s="154"/>
      <c r="J45" s="155"/>
      <c r="K45" s="155"/>
      <c r="L45" s="155"/>
      <c r="M45" s="155"/>
      <c r="N45" s="155"/>
      <c r="O45" s="156"/>
      <c r="P45" s="14"/>
      <c r="Q45" s="14"/>
      <c r="R45" s="14"/>
      <c r="S45" s="14"/>
      <c r="T45" s="14"/>
      <c r="U45" s="8"/>
      <c r="V45" s="8"/>
      <c r="W45" s="8"/>
      <c r="X45" s="8"/>
      <c r="Y45" s="8"/>
      <c r="Z45" s="8"/>
    </row>
    <row r="46" spans="1:26" ht="21.75" customHeight="1" x14ac:dyDescent="0.2">
      <c r="A46" s="142"/>
      <c r="B46" s="175"/>
      <c r="C46" s="176"/>
      <c r="D46" s="176"/>
      <c r="E46" s="176"/>
      <c r="F46" s="176"/>
      <c r="G46" s="176"/>
      <c r="H46" s="177"/>
      <c r="I46" s="154"/>
      <c r="J46" s="155"/>
      <c r="K46" s="155"/>
      <c r="L46" s="155"/>
      <c r="M46" s="155"/>
      <c r="N46" s="155"/>
      <c r="O46" s="156"/>
      <c r="P46" s="14"/>
      <c r="Q46" s="14"/>
      <c r="R46" s="14"/>
      <c r="S46" s="14"/>
      <c r="T46" s="14"/>
      <c r="U46" s="8"/>
      <c r="V46" s="8"/>
      <c r="W46" s="8"/>
      <c r="X46" s="8"/>
      <c r="Y46" s="8"/>
      <c r="Z46" s="8"/>
    </row>
    <row r="47" spans="1:26" ht="23.25" customHeight="1" x14ac:dyDescent="0.2">
      <c r="A47" s="142"/>
      <c r="B47" s="175"/>
      <c r="C47" s="176"/>
      <c r="D47" s="176"/>
      <c r="E47" s="176"/>
      <c r="F47" s="176"/>
      <c r="G47" s="176"/>
      <c r="H47" s="177"/>
      <c r="I47" s="154"/>
      <c r="J47" s="155"/>
      <c r="K47" s="155"/>
      <c r="L47" s="155"/>
      <c r="M47" s="155"/>
      <c r="N47" s="155"/>
      <c r="O47" s="156"/>
      <c r="P47" s="14"/>
      <c r="Q47" s="14"/>
      <c r="R47" s="14"/>
      <c r="S47" s="14"/>
      <c r="T47" s="14"/>
      <c r="U47" s="8"/>
      <c r="V47" s="8"/>
      <c r="W47" s="8"/>
      <c r="X47" s="8"/>
      <c r="Y47" s="8"/>
      <c r="Z47" s="8"/>
    </row>
    <row r="48" spans="1:26" ht="20.25" customHeight="1" x14ac:dyDescent="0.2">
      <c r="A48" s="142"/>
      <c r="B48" s="178"/>
      <c r="C48" s="179"/>
      <c r="D48" s="179"/>
      <c r="E48" s="179"/>
      <c r="F48" s="179"/>
      <c r="G48" s="179"/>
      <c r="H48" s="180"/>
      <c r="I48" s="154"/>
      <c r="J48" s="155"/>
      <c r="K48" s="155"/>
      <c r="L48" s="155"/>
      <c r="M48" s="155"/>
      <c r="N48" s="155"/>
      <c r="O48" s="156"/>
      <c r="P48" s="14"/>
      <c r="Q48" s="14"/>
      <c r="R48" s="14"/>
      <c r="S48" s="14"/>
      <c r="T48" s="14"/>
      <c r="U48" s="8"/>
      <c r="V48" s="8"/>
      <c r="W48" s="8"/>
      <c r="X48" s="8"/>
      <c r="Y48" s="8"/>
      <c r="Z48" s="8"/>
    </row>
    <row r="49" spans="1:26" ht="22.5" customHeight="1" x14ac:dyDescent="0.2">
      <c r="A49" s="142"/>
      <c r="B49" s="172" t="s">
        <v>34</v>
      </c>
      <c r="C49" s="187"/>
      <c r="D49" s="187"/>
      <c r="E49" s="187"/>
      <c r="F49" s="187"/>
      <c r="G49" s="187"/>
      <c r="H49" s="188"/>
      <c r="I49" s="154"/>
      <c r="J49" s="155"/>
      <c r="K49" s="155"/>
      <c r="L49" s="155"/>
      <c r="M49" s="155"/>
      <c r="N49" s="155"/>
      <c r="O49" s="156"/>
      <c r="P49" s="14"/>
      <c r="Q49" s="14"/>
      <c r="R49" s="14"/>
      <c r="S49" s="14"/>
      <c r="T49" s="14"/>
      <c r="U49" s="8"/>
      <c r="V49" s="8"/>
      <c r="W49" s="8"/>
      <c r="X49" s="8"/>
      <c r="Y49" s="8"/>
      <c r="Z49" s="8"/>
    </row>
    <row r="50" spans="1:26" ht="19.5" customHeight="1" x14ac:dyDescent="0.2">
      <c r="A50" s="142"/>
      <c r="B50" s="189"/>
      <c r="C50" s="190"/>
      <c r="D50" s="190"/>
      <c r="E50" s="190"/>
      <c r="F50" s="190"/>
      <c r="G50" s="190"/>
      <c r="H50" s="191"/>
      <c r="I50" s="154"/>
      <c r="J50" s="155"/>
      <c r="K50" s="155"/>
      <c r="L50" s="155"/>
      <c r="M50" s="155"/>
      <c r="N50" s="155"/>
      <c r="O50" s="156"/>
      <c r="P50" s="14"/>
      <c r="Q50" s="14"/>
      <c r="R50" s="14"/>
      <c r="S50" s="14"/>
      <c r="T50" s="14"/>
      <c r="U50" s="8"/>
      <c r="V50" s="8"/>
      <c r="W50" s="8"/>
      <c r="X50" s="8"/>
      <c r="Y50" s="8"/>
      <c r="Z50" s="8"/>
    </row>
    <row r="51" spans="1:26" ht="27" customHeight="1" x14ac:dyDescent="0.2">
      <c r="A51" s="142"/>
      <c r="B51" s="192"/>
      <c r="C51" s="193"/>
      <c r="D51" s="193"/>
      <c r="E51" s="193"/>
      <c r="F51" s="193"/>
      <c r="G51" s="193"/>
      <c r="H51" s="194"/>
      <c r="I51" s="157"/>
      <c r="J51" s="158"/>
      <c r="K51" s="158"/>
      <c r="L51" s="158"/>
      <c r="M51" s="158"/>
      <c r="N51" s="158"/>
      <c r="O51" s="159"/>
      <c r="P51" s="14"/>
      <c r="Q51" s="14"/>
      <c r="R51" s="14"/>
      <c r="S51" s="14"/>
      <c r="T51" s="14"/>
      <c r="U51" s="8"/>
      <c r="V51" s="8"/>
      <c r="W51" s="8"/>
      <c r="X51" s="8"/>
      <c r="Y51" s="8"/>
      <c r="Z51" s="8"/>
    </row>
    <row r="52" spans="1:26" ht="44.25" customHeight="1" x14ac:dyDescent="0.2">
      <c r="A52" s="142"/>
      <c r="B52" s="181"/>
      <c r="C52" s="182"/>
      <c r="D52" s="182"/>
      <c r="E52" s="182"/>
      <c r="F52" s="182"/>
      <c r="G52" s="182"/>
      <c r="H52" s="183"/>
      <c r="I52" s="46"/>
      <c r="J52" s="47"/>
      <c r="K52" s="47"/>
      <c r="L52" s="47"/>
      <c r="M52" s="47"/>
      <c r="N52" s="47"/>
      <c r="O52" s="48"/>
      <c r="P52" s="14"/>
      <c r="Q52" s="14"/>
      <c r="R52" s="14"/>
      <c r="S52" s="14"/>
      <c r="T52" s="14"/>
      <c r="U52" s="8"/>
      <c r="V52" s="8"/>
      <c r="W52" s="8"/>
      <c r="X52" s="8"/>
      <c r="Y52" s="8"/>
      <c r="Z52" s="8"/>
    </row>
    <row r="53" spans="1:26" ht="6" customHeight="1" x14ac:dyDescent="0.2">
      <c r="A53" s="142"/>
      <c r="B53" s="181"/>
      <c r="C53" s="182"/>
      <c r="D53" s="182"/>
      <c r="E53" s="182"/>
      <c r="F53" s="182"/>
      <c r="G53" s="182"/>
      <c r="H53" s="183"/>
      <c r="I53" s="49"/>
      <c r="J53" s="184"/>
      <c r="K53" s="185"/>
      <c r="L53" s="185"/>
      <c r="M53" s="185"/>
      <c r="N53" s="186"/>
      <c r="O53" s="50"/>
      <c r="P53" s="14"/>
      <c r="Q53" s="14"/>
      <c r="R53" s="14"/>
      <c r="S53" s="14"/>
      <c r="T53" s="14"/>
      <c r="U53" s="8"/>
      <c r="V53" s="8"/>
      <c r="W53" s="8"/>
      <c r="X53" s="8"/>
      <c r="Y53" s="8"/>
      <c r="Z53" s="8"/>
    </row>
    <row r="54" spans="1:26" ht="13.5" customHeight="1" x14ac:dyDescent="0.25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14"/>
      <c r="Q54" s="14"/>
      <c r="R54" s="14"/>
      <c r="S54" s="14"/>
      <c r="T54" s="14"/>
      <c r="U54" s="8"/>
      <c r="V54" s="8"/>
      <c r="W54" s="8"/>
      <c r="X54" s="8"/>
      <c r="Y54" s="8"/>
      <c r="Z54" s="8"/>
    </row>
    <row r="55" spans="1:26" ht="13.5" customHeight="1" x14ac:dyDescent="0.25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14"/>
      <c r="Q55" s="14"/>
      <c r="R55" s="14"/>
      <c r="S55" s="14"/>
      <c r="T55" s="14"/>
      <c r="U55" s="8"/>
      <c r="V55" s="8"/>
      <c r="W55" s="8"/>
      <c r="X55" s="8"/>
      <c r="Y55" s="8"/>
      <c r="Z55" s="8"/>
    </row>
    <row r="56" spans="1:26" ht="13.5" customHeight="1" x14ac:dyDescent="0.25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14"/>
      <c r="Q56" s="14"/>
      <c r="R56" s="14"/>
      <c r="S56" s="14"/>
      <c r="T56" s="14"/>
      <c r="U56" s="8"/>
      <c r="V56" s="8"/>
      <c r="W56" s="8"/>
      <c r="X56" s="8"/>
      <c r="Y56" s="8"/>
      <c r="Z56" s="8"/>
    </row>
    <row r="57" spans="1:26" ht="13.5" customHeight="1" x14ac:dyDescent="0.25">
      <c r="A57" s="51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14"/>
      <c r="Q57" s="14"/>
      <c r="R57" s="14"/>
      <c r="S57" s="14"/>
      <c r="T57" s="14"/>
      <c r="U57" s="8"/>
      <c r="V57" s="8"/>
      <c r="W57" s="8"/>
      <c r="X57" s="8"/>
      <c r="Y57" s="8"/>
      <c r="Z57" s="8"/>
    </row>
    <row r="58" spans="1:26" ht="13.5" customHeight="1" x14ac:dyDescent="0.25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14"/>
      <c r="Q58" s="14"/>
      <c r="R58" s="14"/>
      <c r="S58" s="14"/>
      <c r="T58" s="14"/>
      <c r="U58" s="8"/>
      <c r="V58" s="8"/>
      <c r="W58" s="8"/>
      <c r="X58" s="8"/>
      <c r="Y58" s="8"/>
      <c r="Z58" s="8"/>
    </row>
    <row r="59" spans="1:26" ht="14.25" customHeight="1" x14ac:dyDescent="0.25">
      <c r="A59" s="51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14"/>
      <c r="Q59" s="14"/>
      <c r="R59" s="14"/>
      <c r="S59" s="14"/>
      <c r="T59" s="14"/>
      <c r="U59" s="8"/>
      <c r="V59" s="8"/>
      <c r="W59" s="8"/>
      <c r="X59" s="8"/>
      <c r="Y59" s="8"/>
      <c r="Z59" s="8"/>
    </row>
    <row r="60" spans="1:26" ht="13.5" customHeight="1" x14ac:dyDescent="0.25">
      <c r="A60" s="51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14"/>
      <c r="Q60" s="14"/>
      <c r="R60" s="14"/>
      <c r="S60" s="14"/>
      <c r="T60" s="14"/>
      <c r="U60" s="8"/>
      <c r="V60" s="8"/>
      <c r="W60" s="8"/>
      <c r="X60" s="8"/>
      <c r="Y60" s="8"/>
      <c r="Z60" s="8"/>
    </row>
    <row r="61" spans="1:26" ht="13.5" customHeight="1" x14ac:dyDescent="0.25">
      <c r="A61" s="51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14"/>
      <c r="Q61" s="14"/>
      <c r="R61" s="14"/>
      <c r="S61" s="14"/>
      <c r="T61" s="14"/>
      <c r="U61" s="8"/>
      <c r="V61" s="8"/>
      <c r="W61" s="8"/>
      <c r="X61" s="8"/>
      <c r="Y61" s="8"/>
      <c r="Z61" s="8"/>
    </row>
    <row r="62" spans="1:26" ht="15.75" customHeight="1" x14ac:dyDescent="0.25">
      <c r="A62" s="51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14"/>
      <c r="Q62" s="14"/>
      <c r="R62" s="14"/>
      <c r="S62" s="14"/>
      <c r="T62" s="14"/>
      <c r="U62" s="8"/>
      <c r="V62" s="8"/>
      <c r="W62" s="8"/>
      <c r="X62" s="8"/>
      <c r="Y62" s="8"/>
      <c r="Z62" s="8"/>
    </row>
    <row r="63" spans="1:26" ht="15.75" customHeight="1" x14ac:dyDescent="0.25">
      <c r="A63" s="51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14"/>
      <c r="Q63" s="14"/>
      <c r="R63" s="14"/>
      <c r="S63" s="14"/>
      <c r="T63" s="14"/>
      <c r="U63" s="8"/>
      <c r="V63" s="8"/>
      <c r="W63" s="8"/>
      <c r="X63" s="8"/>
      <c r="Y63" s="8"/>
      <c r="Z63" s="8"/>
    </row>
    <row r="64" spans="1:26" ht="15.75" customHeight="1" x14ac:dyDescent="0.25">
      <c r="A64" s="51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14"/>
      <c r="Q64" s="14"/>
      <c r="R64" s="14"/>
      <c r="S64" s="14"/>
      <c r="T64" s="14"/>
      <c r="U64" s="8"/>
      <c r="V64" s="8"/>
      <c r="W64" s="8"/>
      <c r="X64" s="8"/>
      <c r="Y64" s="8"/>
      <c r="Z64" s="8"/>
    </row>
    <row r="65" spans="1:26" ht="15.75" customHeight="1" x14ac:dyDescent="0.25">
      <c r="A65" s="51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14"/>
      <c r="Q65" s="14"/>
      <c r="R65" s="14"/>
      <c r="S65" s="14"/>
      <c r="T65" s="14"/>
      <c r="U65" s="8"/>
      <c r="V65" s="8"/>
      <c r="W65" s="8"/>
      <c r="X65" s="8"/>
      <c r="Y65" s="8"/>
      <c r="Z65" s="8"/>
    </row>
    <row r="66" spans="1:26" ht="15.75" customHeight="1" x14ac:dyDescent="0.25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14"/>
      <c r="Q66" s="14"/>
      <c r="R66" s="14"/>
      <c r="S66" s="14"/>
      <c r="T66" s="14"/>
      <c r="U66" s="8"/>
      <c r="V66" s="8"/>
      <c r="W66" s="8"/>
      <c r="X66" s="8"/>
      <c r="Y66" s="8"/>
      <c r="Z66" s="8"/>
    </row>
    <row r="67" spans="1:26" ht="15.75" customHeight="1" x14ac:dyDescent="0.25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14"/>
      <c r="Q67" s="14"/>
      <c r="R67" s="14"/>
      <c r="S67" s="14"/>
      <c r="T67" s="14"/>
      <c r="U67" s="8"/>
      <c r="V67" s="8"/>
      <c r="W67" s="8"/>
      <c r="X67" s="8"/>
      <c r="Y67" s="8"/>
      <c r="Z67" s="8"/>
    </row>
    <row r="68" spans="1:26" ht="15.75" customHeight="1" x14ac:dyDescent="0.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 x14ac:dyDescent="0.2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 x14ac:dyDescent="0.2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 x14ac:dyDescent="0.2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 x14ac:dyDescent="0.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 x14ac:dyDescent="0.2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 x14ac:dyDescent="0.2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 x14ac:dyDescent="0.2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 x14ac:dyDescent="0.2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 x14ac:dyDescent="0.2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 x14ac:dyDescent="0.2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 x14ac:dyDescent="0.2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 x14ac:dyDescent="0.2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 x14ac:dyDescent="0.2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 x14ac:dyDescent="0.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 x14ac:dyDescent="0.2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 x14ac:dyDescent="0.2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 x14ac:dyDescent="0.2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 x14ac:dyDescent="0.2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 x14ac:dyDescent="0.2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 x14ac:dyDescent="0.2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 x14ac:dyDescent="0.2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 x14ac:dyDescent="0.2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 x14ac:dyDescent="0.2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 x14ac:dyDescent="0.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 x14ac:dyDescent="0.2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 x14ac:dyDescent="0.2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 x14ac:dyDescent="0.2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 x14ac:dyDescent="0.2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 x14ac:dyDescent="0.2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 x14ac:dyDescent="0.2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 x14ac:dyDescent="0.2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 x14ac:dyDescent="0.2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 x14ac:dyDescent="0.2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 x14ac:dyDescent="0.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 x14ac:dyDescent="0.2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 x14ac:dyDescent="0.2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 x14ac:dyDescent="0.2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 x14ac:dyDescent="0.2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 x14ac:dyDescent="0.2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 x14ac:dyDescent="0.2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 x14ac:dyDescent="0.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 x14ac:dyDescent="0.2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 x14ac:dyDescent="0.2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 x14ac:dyDescent="0.2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 x14ac:dyDescent="0.2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 x14ac:dyDescent="0.2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 x14ac:dyDescent="0.2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 x14ac:dyDescent="0.2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 x14ac:dyDescent="0.2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 x14ac:dyDescent="0.2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 x14ac:dyDescent="0.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 x14ac:dyDescent="0.2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 x14ac:dyDescent="0.2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 x14ac:dyDescent="0.2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 x14ac:dyDescent="0.2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 x14ac:dyDescent="0.2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 x14ac:dyDescent="0.2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 x14ac:dyDescent="0.2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 x14ac:dyDescent="0.2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 x14ac:dyDescent="0.2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 x14ac:dyDescent="0.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 x14ac:dyDescent="0.2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 x14ac:dyDescent="0.2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 x14ac:dyDescent="0.2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 x14ac:dyDescent="0.2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 x14ac:dyDescent="0.2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 x14ac:dyDescent="0.2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 x14ac:dyDescent="0.2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 x14ac:dyDescent="0.2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 x14ac:dyDescent="0.2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 x14ac:dyDescent="0.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 x14ac:dyDescent="0.2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 x14ac:dyDescent="0.2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 x14ac:dyDescent="0.2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 x14ac:dyDescent="0.2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 x14ac:dyDescent="0.2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 x14ac:dyDescent="0.2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 x14ac:dyDescent="0.2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 x14ac:dyDescent="0.2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 x14ac:dyDescent="0.2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 x14ac:dyDescent="0.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 x14ac:dyDescent="0.2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 x14ac:dyDescent="0.2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 x14ac:dyDescent="0.2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 x14ac:dyDescent="0.2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 x14ac:dyDescent="0.2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 x14ac:dyDescent="0.2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 x14ac:dyDescent="0.2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 x14ac:dyDescent="0.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 x14ac:dyDescent="0.2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 x14ac:dyDescent="0.2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 x14ac:dyDescent="0.2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 x14ac:dyDescent="0.2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 x14ac:dyDescent="0.2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 x14ac:dyDescent="0.2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 x14ac:dyDescent="0.2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 x14ac:dyDescent="0.2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 x14ac:dyDescent="0.2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 x14ac:dyDescent="0.2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 x14ac:dyDescent="0.2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 x14ac:dyDescent="0.2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 x14ac:dyDescent="0.2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 x14ac:dyDescent="0.2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 x14ac:dyDescent="0.2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 x14ac:dyDescent="0.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 x14ac:dyDescent="0.2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 x14ac:dyDescent="0.2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 x14ac:dyDescent="0.2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 x14ac:dyDescent="0.2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 x14ac:dyDescent="0.2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 x14ac:dyDescent="0.2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 x14ac:dyDescent="0.2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 x14ac:dyDescent="0.2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 x14ac:dyDescent="0.2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 x14ac:dyDescent="0.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 x14ac:dyDescent="0.2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 x14ac:dyDescent="0.2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 x14ac:dyDescent="0.2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 x14ac:dyDescent="0.2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 x14ac:dyDescent="0.2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 x14ac:dyDescent="0.2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 x14ac:dyDescent="0.2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 x14ac:dyDescent="0.2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 x14ac:dyDescent="0.2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 x14ac:dyDescent="0.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 x14ac:dyDescent="0.2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 x14ac:dyDescent="0.2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 x14ac:dyDescent="0.2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 x14ac:dyDescent="0.2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 x14ac:dyDescent="0.2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 x14ac:dyDescent="0.2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 x14ac:dyDescent="0.2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 x14ac:dyDescent="0.2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 x14ac:dyDescent="0.2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 x14ac:dyDescent="0.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 x14ac:dyDescent="0.2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 x14ac:dyDescent="0.2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 x14ac:dyDescent="0.2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 x14ac:dyDescent="0.2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 x14ac:dyDescent="0.2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 x14ac:dyDescent="0.2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 x14ac:dyDescent="0.2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 x14ac:dyDescent="0.2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 x14ac:dyDescent="0.2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 x14ac:dyDescent="0.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 x14ac:dyDescent="0.2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 x14ac:dyDescent="0.2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 x14ac:dyDescent="0.2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 x14ac:dyDescent="0.2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 x14ac:dyDescent="0.2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 x14ac:dyDescent="0.2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 x14ac:dyDescent="0.2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 x14ac:dyDescent="0.2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 x14ac:dyDescent="0.2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 x14ac:dyDescent="0.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 x14ac:dyDescent="0.2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 x14ac:dyDescent="0.2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 x14ac:dyDescent="0.2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 x14ac:dyDescent="0.2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 x14ac:dyDescent="0.2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 x14ac:dyDescent="0.2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 x14ac:dyDescent="0.2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 x14ac:dyDescent="0.2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 x14ac:dyDescent="0.2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 x14ac:dyDescent="0.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 x14ac:dyDescent="0.2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 x14ac:dyDescent="0.2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 x14ac:dyDescent="0.2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 x14ac:dyDescent="0.2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 x14ac:dyDescent="0.2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 x14ac:dyDescent="0.2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 x14ac:dyDescent="0.2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 x14ac:dyDescent="0.2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 x14ac:dyDescent="0.2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 x14ac:dyDescent="0.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 x14ac:dyDescent="0.2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 x14ac:dyDescent="0.2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 x14ac:dyDescent="0.2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 x14ac:dyDescent="0.2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 x14ac:dyDescent="0.2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 x14ac:dyDescent="0.2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 x14ac:dyDescent="0.2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 x14ac:dyDescent="0.2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 x14ac:dyDescent="0.2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 x14ac:dyDescent="0.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 x14ac:dyDescent="0.2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 x14ac:dyDescent="0.2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 x14ac:dyDescent="0.2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 x14ac:dyDescent="0.2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 x14ac:dyDescent="0.2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 x14ac:dyDescent="0.2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 x14ac:dyDescent="0.2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 x14ac:dyDescent="0.2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 x14ac:dyDescent="0.2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 x14ac:dyDescent="0.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 x14ac:dyDescent="0.2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 x14ac:dyDescent="0.2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 x14ac:dyDescent="0.2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 x14ac:dyDescent="0.2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 x14ac:dyDescent="0.2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 x14ac:dyDescent="0.2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 x14ac:dyDescent="0.2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 x14ac:dyDescent="0.2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 x14ac:dyDescent="0.2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 x14ac:dyDescent="0.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 x14ac:dyDescent="0.2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 x14ac:dyDescent="0.2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 x14ac:dyDescent="0.2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 x14ac:dyDescent="0.2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 x14ac:dyDescent="0.2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 x14ac:dyDescent="0.2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 x14ac:dyDescent="0.2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 x14ac:dyDescent="0.2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 x14ac:dyDescent="0.2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 x14ac:dyDescent="0.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 x14ac:dyDescent="0.2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 x14ac:dyDescent="0.2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 x14ac:dyDescent="0.2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 x14ac:dyDescent="0.2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 x14ac:dyDescent="0.2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 x14ac:dyDescent="0.2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 x14ac:dyDescent="0.2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 x14ac:dyDescent="0.2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 x14ac:dyDescent="0.2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 x14ac:dyDescent="0.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 x14ac:dyDescent="0.2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 x14ac:dyDescent="0.2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 x14ac:dyDescent="0.2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 x14ac:dyDescent="0.2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 x14ac:dyDescent="0.2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 x14ac:dyDescent="0.2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 x14ac:dyDescent="0.2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 x14ac:dyDescent="0.2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 x14ac:dyDescent="0.2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 x14ac:dyDescent="0.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 x14ac:dyDescent="0.2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 x14ac:dyDescent="0.2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 x14ac:dyDescent="0.2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 x14ac:dyDescent="0.2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 x14ac:dyDescent="0.2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 x14ac:dyDescent="0.2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 x14ac:dyDescent="0.2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 x14ac:dyDescent="0.2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 x14ac:dyDescent="0.2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 x14ac:dyDescent="0.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 x14ac:dyDescent="0.2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 x14ac:dyDescent="0.2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 x14ac:dyDescent="0.2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 x14ac:dyDescent="0.2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 x14ac:dyDescent="0.2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 x14ac:dyDescent="0.2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 x14ac:dyDescent="0.2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 x14ac:dyDescent="0.2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 x14ac:dyDescent="0.2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 x14ac:dyDescent="0.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 x14ac:dyDescent="0.2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 x14ac:dyDescent="0.2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 x14ac:dyDescent="0.2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 x14ac:dyDescent="0.2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 x14ac:dyDescent="0.2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 x14ac:dyDescent="0.2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 x14ac:dyDescent="0.2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 x14ac:dyDescent="0.2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 x14ac:dyDescent="0.2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 x14ac:dyDescent="0.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 x14ac:dyDescent="0.2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 x14ac:dyDescent="0.2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 x14ac:dyDescent="0.2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 x14ac:dyDescent="0.2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 x14ac:dyDescent="0.2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 x14ac:dyDescent="0.2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 x14ac:dyDescent="0.2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 x14ac:dyDescent="0.2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 x14ac:dyDescent="0.2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 x14ac:dyDescent="0.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 x14ac:dyDescent="0.2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 x14ac:dyDescent="0.2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 x14ac:dyDescent="0.2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 x14ac:dyDescent="0.2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 x14ac:dyDescent="0.2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 x14ac:dyDescent="0.2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 x14ac:dyDescent="0.2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 x14ac:dyDescent="0.2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 x14ac:dyDescent="0.2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 x14ac:dyDescent="0.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 x14ac:dyDescent="0.2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 x14ac:dyDescent="0.2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 x14ac:dyDescent="0.2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 x14ac:dyDescent="0.2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 x14ac:dyDescent="0.2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 x14ac:dyDescent="0.2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 x14ac:dyDescent="0.2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 x14ac:dyDescent="0.2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 x14ac:dyDescent="0.2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 x14ac:dyDescent="0.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 x14ac:dyDescent="0.2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 x14ac:dyDescent="0.2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 x14ac:dyDescent="0.2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 x14ac:dyDescent="0.2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 x14ac:dyDescent="0.2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 x14ac:dyDescent="0.2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 x14ac:dyDescent="0.2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 x14ac:dyDescent="0.2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 x14ac:dyDescent="0.2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 x14ac:dyDescent="0.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 x14ac:dyDescent="0.2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 x14ac:dyDescent="0.2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 x14ac:dyDescent="0.2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 x14ac:dyDescent="0.2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 x14ac:dyDescent="0.2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 x14ac:dyDescent="0.2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 x14ac:dyDescent="0.2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 x14ac:dyDescent="0.2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 x14ac:dyDescent="0.2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 x14ac:dyDescent="0.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 x14ac:dyDescent="0.2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 x14ac:dyDescent="0.2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 x14ac:dyDescent="0.2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 x14ac:dyDescent="0.2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 x14ac:dyDescent="0.2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 x14ac:dyDescent="0.2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 x14ac:dyDescent="0.2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 x14ac:dyDescent="0.2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 x14ac:dyDescent="0.2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 x14ac:dyDescent="0.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 x14ac:dyDescent="0.2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 x14ac:dyDescent="0.2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 x14ac:dyDescent="0.2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 x14ac:dyDescent="0.2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 x14ac:dyDescent="0.2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 x14ac:dyDescent="0.2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 x14ac:dyDescent="0.2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 x14ac:dyDescent="0.2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 x14ac:dyDescent="0.2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 x14ac:dyDescent="0.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 x14ac:dyDescent="0.2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 x14ac:dyDescent="0.2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 x14ac:dyDescent="0.2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 x14ac:dyDescent="0.2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 x14ac:dyDescent="0.2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 x14ac:dyDescent="0.2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 x14ac:dyDescent="0.2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 x14ac:dyDescent="0.2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 x14ac:dyDescent="0.2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 x14ac:dyDescent="0.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 x14ac:dyDescent="0.2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 x14ac:dyDescent="0.2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 x14ac:dyDescent="0.2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 x14ac:dyDescent="0.2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 x14ac:dyDescent="0.2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 x14ac:dyDescent="0.2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 x14ac:dyDescent="0.2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 x14ac:dyDescent="0.2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 x14ac:dyDescent="0.2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 x14ac:dyDescent="0.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 x14ac:dyDescent="0.2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 x14ac:dyDescent="0.2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 x14ac:dyDescent="0.2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 x14ac:dyDescent="0.2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 x14ac:dyDescent="0.2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 x14ac:dyDescent="0.2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 x14ac:dyDescent="0.2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 x14ac:dyDescent="0.2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 x14ac:dyDescent="0.2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 x14ac:dyDescent="0.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 x14ac:dyDescent="0.2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 x14ac:dyDescent="0.2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 x14ac:dyDescent="0.2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 x14ac:dyDescent="0.2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 x14ac:dyDescent="0.2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 x14ac:dyDescent="0.2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 x14ac:dyDescent="0.2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 x14ac:dyDescent="0.2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 x14ac:dyDescent="0.2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 x14ac:dyDescent="0.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 x14ac:dyDescent="0.2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 x14ac:dyDescent="0.2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 x14ac:dyDescent="0.2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 x14ac:dyDescent="0.2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 x14ac:dyDescent="0.2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 x14ac:dyDescent="0.2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 x14ac:dyDescent="0.2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 x14ac:dyDescent="0.2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 x14ac:dyDescent="0.2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 x14ac:dyDescent="0.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 x14ac:dyDescent="0.2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 x14ac:dyDescent="0.2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 x14ac:dyDescent="0.2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 x14ac:dyDescent="0.2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 x14ac:dyDescent="0.2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 x14ac:dyDescent="0.2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 x14ac:dyDescent="0.2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 x14ac:dyDescent="0.2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 x14ac:dyDescent="0.2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 x14ac:dyDescent="0.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 x14ac:dyDescent="0.2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 x14ac:dyDescent="0.2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 x14ac:dyDescent="0.2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 x14ac:dyDescent="0.2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 x14ac:dyDescent="0.2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 x14ac:dyDescent="0.2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 x14ac:dyDescent="0.2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 x14ac:dyDescent="0.2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 x14ac:dyDescent="0.2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 x14ac:dyDescent="0.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 x14ac:dyDescent="0.2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 x14ac:dyDescent="0.2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 x14ac:dyDescent="0.2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 x14ac:dyDescent="0.2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 x14ac:dyDescent="0.2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 x14ac:dyDescent="0.2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 x14ac:dyDescent="0.2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 x14ac:dyDescent="0.2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 x14ac:dyDescent="0.2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 x14ac:dyDescent="0.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 x14ac:dyDescent="0.2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 x14ac:dyDescent="0.2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 x14ac:dyDescent="0.2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 x14ac:dyDescent="0.2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 x14ac:dyDescent="0.2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 x14ac:dyDescent="0.2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 x14ac:dyDescent="0.2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 x14ac:dyDescent="0.2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 x14ac:dyDescent="0.2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 x14ac:dyDescent="0.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 x14ac:dyDescent="0.2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 x14ac:dyDescent="0.2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 x14ac:dyDescent="0.2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 x14ac:dyDescent="0.2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 x14ac:dyDescent="0.2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 x14ac:dyDescent="0.2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 x14ac:dyDescent="0.2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 x14ac:dyDescent="0.2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 x14ac:dyDescent="0.2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 x14ac:dyDescent="0.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 x14ac:dyDescent="0.2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 x14ac:dyDescent="0.2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 x14ac:dyDescent="0.2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 x14ac:dyDescent="0.2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 x14ac:dyDescent="0.2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 x14ac:dyDescent="0.2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 x14ac:dyDescent="0.2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 x14ac:dyDescent="0.2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 x14ac:dyDescent="0.2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 x14ac:dyDescent="0.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 x14ac:dyDescent="0.2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 x14ac:dyDescent="0.2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 x14ac:dyDescent="0.2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 x14ac:dyDescent="0.2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 x14ac:dyDescent="0.2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 x14ac:dyDescent="0.2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 x14ac:dyDescent="0.2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 x14ac:dyDescent="0.2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 x14ac:dyDescent="0.2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 x14ac:dyDescent="0.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 x14ac:dyDescent="0.2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 x14ac:dyDescent="0.2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 x14ac:dyDescent="0.2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 x14ac:dyDescent="0.2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 x14ac:dyDescent="0.2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 x14ac:dyDescent="0.2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 x14ac:dyDescent="0.2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 x14ac:dyDescent="0.2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 x14ac:dyDescent="0.2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 x14ac:dyDescent="0.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 x14ac:dyDescent="0.2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 x14ac:dyDescent="0.2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 x14ac:dyDescent="0.2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 x14ac:dyDescent="0.2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 x14ac:dyDescent="0.2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 x14ac:dyDescent="0.2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 x14ac:dyDescent="0.2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 x14ac:dyDescent="0.2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 x14ac:dyDescent="0.2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 x14ac:dyDescent="0.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 x14ac:dyDescent="0.2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 x14ac:dyDescent="0.2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 x14ac:dyDescent="0.2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 x14ac:dyDescent="0.2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 x14ac:dyDescent="0.2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 x14ac:dyDescent="0.2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 x14ac:dyDescent="0.2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 x14ac:dyDescent="0.2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 x14ac:dyDescent="0.2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 x14ac:dyDescent="0.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 x14ac:dyDescent="0.2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 x14ac:dyDescent="0.2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 x14ac:dyDescent="0.2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 x14ac:dyDescent="0.2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 x14ac:dyDescent="0.2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 x14ac:dyDescent="0.2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 x14ac:dyDescent="0.2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 x14ac:dyDescent="0.2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 x14ac:dyDescent="0.2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 x14ac:dyDescent="0.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 x14ac:dyDescent="0.2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 x14ac:dyDescent="0.2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 x14ac:dyDescent="0.2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 x14ac:dyDescent="0.2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 x14ac:dyDescent="0.2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 x14ac:dyDescent="0.2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 x14ac:dyDescent="0.2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 x14ac:dyDescent="0.2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 x14ac:dyDescent="0.2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 x14ac:dyDescent="0.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 x14ac:dyDescent="0.2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 x14ac:dyDescent="0.2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 x14ac:dyDescent="0.2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 x14ac:dyDescent="0.2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 x14ac:dyDescent="0.2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 x14ac:dyDescent="0.2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 x14ac:dyDescent="0.2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 x14ac:dyDescent="0.2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 x14ac:dyDescent="0.2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 x14ac:dyDescent="0.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 x14ac:dyDescent="0.2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 x14ac:dyDescent="0.2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 x14ac:dyDescent="0.2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 x14ac:dyDescent="0.2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 x14ac:dyDescent="0.2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 x14ac:dyDescent="0.2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 x14ac:dyDescent="0.2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 x14ac:dyDescent="0.2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 x14ac:dyDescent="0.2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 x14ac:dyDescent="0.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 x14ac:dyDescent="0.2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 x14ac:dyDescent="0.2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 x14ac:dyDescent="0.2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 x14ac:dyDescent="0.2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 x14ac:dyDescent="0.2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 x14ac:dyDescent="0.2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 x14ac:dyDescent="0.2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 x14ac:dyDescent="0.2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 x14ac:dyDescent="0.2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 x14ac:dyDescent="0.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 x14ac:dyDescent="0.2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 x14ac:dyDescent="0.2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 x14ac:dyDescent="0.2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 x14ac:dyDescent="0.2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 x14ac:dyDescent="0.2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 x14ac:dyDescent="0.2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 x14ac:dyDescent="0.2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 x14ac:dyDescent="0.2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 x14ac:dyDescent="0.2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 x14ac:dyDescent="0.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 x14ac:dyDescent="0.2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 x14ac:dyDescent="0.2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 x14ac:dyDescent="0.2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 x14ac:dyDescent="0.2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 x14ac:dyDescent="0.2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 x14ac:dyDescent="0.2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 x14ac:dyDescent="0.2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 x14ac:dyDescent="0.2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 x14ac:dyDescent="0.2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 x14ac:dyDescent="0.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 x14ac:dyDescent="0.2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 x14ac:dyDescent="0.2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 x14ac:dyDescent="0.2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 x14ac:dyDescent="0.2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 x14ac:dyDescent="0.2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 x14ac:dyDescent="0.2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 x14ac:dyDescent="0.2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 x14ac:dyDescent="0.2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 x14ac:dyDescent="0.2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 x14ac:dyDescent="0.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 x14ac:dyDescent="0.2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 x14ac:dyDescent="0.2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 x14ac:dyDescent="0.2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 x14ac:dyDescent="0.2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 x14ac:dyDescent="0.2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 x14ac:dyDescent="0.2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 x14ac:dyDescent="0.2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 x14ac:dyDescent="0.2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 x14ac:dyDescent="0.2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 x14ac:dyDescent="0.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 x14ac:dyDescent="0.2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 x14ac:dyDescent="0.2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 x14ac:dyDescent="0.2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 x14ac:dyDescent="0.2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 x14ac:dyDescent="0.2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 x14ac:dyDescent="0.2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 x14ac:dyDescent="0.2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 x14ac:dyDescent="0.2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 x14ac:dyDescent="0.2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 x14ac:dyDescent="0.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 x14ac:dyDescent="0.2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 x14ac:dyDescent="0.2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 x14ac:dyDescent="0.2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 x14ac:dyDescent="0.2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 x14ac:dyDescent="0.2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 x14ac:dyDescent="0.2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 x14ac:dyDescent="0.2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 x14ac:dyDescent="0.2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 x14ac:dyDescent="0.2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 x14ac:dyDescent="0.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 x14ac:dyDescent="0.2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 x14ac:dyDescent="0.2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 x14ac:dyDescent="0.2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 x14ac:dyDescent="0.2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 x14ac:dyDescent="0.2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 x14ac:dyDescent="0.2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 x14ac:dyDescent="0.2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 x14ac:dyDescent="0.2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 x14ac:dyDescent="0.2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 x14ac:dyDescent="0.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 x14ac:dyDescent="0.2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 x14ac:dyDescent="0.2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 x14ac:dyDescent="0.2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 x14ac:dyDescent="0.2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 x14ac:dyDescent="0.2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 x14ac:dyDescent="0.2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 x14ac:dyDescent="0.2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 x14ac:dyDescent="0.2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 x14ac:dyDescent="0.2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 x14ac:dyDescent="0.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 x14ac:dyDescent="0.2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 x14ac:dyDescent="0.2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 x14ac:dyDescent="0.2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 x14ac:dyDescent="0.2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 x14ac:dyDescent="0.2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 x14ac:dyDescent="0.2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 x14ac:dyDescent="0.2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 x14ac:dyDescent="0.2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 x14ac:dyDescent="0.2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 x14ac:dyDescent="0.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 x14ac:dyDescent="0.2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 x14ac:dyDescent="0.2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 x14ac:dyDescent="0.2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 x14ac:dyDescent="0.2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 x14ac:dyDescent="0.2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 x14ac:dyDescent="0.2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 x14ac:dyDescent="0.2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 x14ac:dyDescent="0.2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 x14ac:dyDescent="0.2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 x14ac:dyDescent="0.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 x14ac:dyDescent="0.2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 x14ac:dyDescent="0.2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 x14ac:dyDescent="0.2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 x14ac:dyDescent="0.2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 x14ac:dyDescent="0.2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 x14ac:dyDescent="0.2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 x14ac:dyDescent="0.2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 x14ac:dyDescent="0.2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 x14ac:dyDescent="0.2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 x14ac:dyDescent="0.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 x14ac:dyDescent="0.2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 x14ac:dyDescent="0.2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 x14ac:dyDescent="0.2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 x14ac:dyDescent="0.2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 x14ac:dyDescent="0.2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 x14ac:dyDescent="0.2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 x14ac:dyDescent="0.2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 x14ac:dyDescent="0.2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 x14ac:dyDescent="0.2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 x14ac:dyDescent="0.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 x14ac:dyDescent="0.2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 x14ac:dyDescent="0.2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 x14ac:dyDescent="0.2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 x14ac:dyDescent="0.2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 x14ac:dyDescent="0.2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 x14ac:dyDescent="0.2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 x14ac:dyDescent="0.2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 x14ac:dyDescent="0.2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 x14ac:dyDescent="0.2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 x14ac:dyDescent="0.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 x14ac:dyDescent="0.2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 x14ac:dyDescent="0.2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 x14ac:dyDescent="0.2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 x14ac:dyDescent="0.2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 x14ac:dyDescent="0.2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 x14ac:dyDescent="0.2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 x14ac:dyDescent="0.2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 x14ac:dyDescent="0.2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 x14ac:dyDescent="0.2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 x14ac:dyDescent="0.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 x14ac:dyDescent="0.2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 x14ac:dyDescent="0.2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 x14ac:dyDescent="0.2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 x14ac:dyDescent="0.2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 x14ac:dyDescent="0.2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 x14ac:dyDescent="0.2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 x14ac:dyDescent="0.2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 x14ac:dyDescent="0.2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 x14ac:dyDescent="0.2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 x14ac:dyDescent="0.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 x14ac:dyDescent="0.2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 x14ac:dyDescent="0.2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 x14ac:dyDescent="0.2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 x14ac:dyDescent="0.2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 x14ac:dyDescent="0.2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 x14ac:dyDescent="0.2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 x14ac:dyDescent="0.2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 x14ac:dyDescent="0.2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 x14ac:dyDescent="0.2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 x14ac:dyDescent="0.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 x14ac:dyDescent="0.2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 x14ac:dyDescent="0.2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 x14ac:dyDescent="0.2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 x14ac:dyDescent="0.2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 x14ac:dyDescent="0.2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 x14ac:dyDescent="0.2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 x14ac:dyDescent="0.2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 x14ac:dyDescent="0.2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 x14ac:dyDescent="0.2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 x14ac:dyDescent="0.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 x14ac:dyDescent="0.2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 x14ac:dyDescent="0.2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 x14ac:dyDescent="0.2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 x14ac:dyDescent="0.2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 x14ac:dyDescent="0.2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 x14ac:dyDescent="0.2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 x14ac:dyDescent="0.2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 x14ac:dyDescent="0.2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 x14ac:dyDescent="0.2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 x14ac:dyDescent="0.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 x14ac:dyDescent="0.2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 x14ac:dyDescent="0.2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 x14ac:dyDescent="0.2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 x14ac:dyDescent="0.2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 x14ac:dyDescent="0.2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 x14ac:dyDescent="0.2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 x14ac:dyDescent="0.2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 x14ac:dyDescent="0.2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 x14ac:dyDescent="0.2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 x14ac:dyDescent="0.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 x14ac:dyDescent="0.2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 x14ac:dyDescent="0.2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 x14ac:dyDescent="0.2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 x14ac:dyDescent="0.2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 x14ac:dyDescent="0.2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 x14ac:dyDescent="0.2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 x14ac:dyDescent="0.2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 x14ac:dyDescent="0.2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 x14ac:dyDescent="0.2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 x14ac:dyDescent="0.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 x14ac:dyDescent="0.2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 x14ac:dyDescent="0.2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 x14ac:dyDescent="0.2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 x14ac:dyDescent="0.2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 x14ac:dyDescent="0.2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 x14ac:dyDescent="0.2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 x14ac:dyDescent="0.2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 x14ac:dyDescent="0.2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 x14ac:dyDescent="0.2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 x14ac:dyDescent="0.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 x14ac:dyDescent="0.2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 x14ac:dyDescent="0.2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 x14ac:dyDescent="0.2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 x14ac:dyDescent="0.2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 x14ac:dyDescent="0.2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 x14ac:dyDescent="0.2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 x14ac:dyDescent="0.2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 x14ac:dyDescent="0.2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 x14ac:dyDescent="0.2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 x14ac:dyDescent="0.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 x14ac:dyDescent="0.2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 x14ac:dyDescent="0.2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 x14ac:dyDescent="0.2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 x14ac:dyDescent="0.2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 x14ac:dyDescent="0.2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 x14ac:dyDescent="0.2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 x14ac:dyDescent="0.2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 x14ac:dyDescent="0.2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 x14ac:dyDescent="0.2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 x14ac:dyDescent="0.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 x14ac:dyDescent="0.2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 x14ac:dyDescent="0.2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 x14ac:dyDescent="0.2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 x14ac:dyDescent="0.2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 x14ac:dyDescent="0.2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 x14ac:dyDescent="0.2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 x14ac:dyDescent="0.2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 x14ac:dyDescent="0.2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 x14ac:dyDescent="0.2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 x14ac:dyDescent="0.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 x14ac:dyDescent="0.2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 x14ac:dyDescent="0.2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 x14ac:dyDescent="0.2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 x14ac:dyDescent="0.2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 x14ac:dyDescent="0.2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 x14ac:dyDescent="0.2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 x14ac:dyDescent="0.2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 x14ac:dyDescent="0.2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 x14ac:dyDescent="0.2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 x14ac:dyDescent="0.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 x14ac:dyDescent="0.2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 x14ac:dyDescent="0.2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 x14ac:dyDescent="0.2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 x14ac:dyDescent="0.2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 x14ac:dyDescent="0.2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 x14ac:dyDescent="0.2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 x14ac:dyDescent="0.2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 x14ac:dyDescent="0.2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 x14ac:dyDescent="0.2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 x14ac:dyDescent="0.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 x14ac:dyDescent="0.2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 x14ac:dyDescent="0.2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 x14ac:dyDescent="0.2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 x14ac:dyDescent="0.2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 x14ac:dyDescent="0.2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 x14ac:dyDescent="0.2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 x14ac:dyDescent="0.2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 x14ac:dyDescent="0.2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 x14ac:dyDescent="0.2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 x14ac:dyDescent="0.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 x14ac:dyDescent="0.2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 x14ac:dyDescent="0.2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 x14ac:dyDescent="0.2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 x14ac:dyDescent="0.2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 x14ac:dyDescent="0.2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 x14ac:dyDescent="0.2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 x14ac:dyDescent="0.2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 x14ac:dyDescent="0.2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 x14ac:dyDescent="0.2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 x14ac:dyDescent="0.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 x14ac:dyDescent="0.2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 x14ac:dyDescent="0.2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 x14ac:dyDescent="0.2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 x14ac:dyDescent="0.2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 x14ac:dyDescent="0.2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 x14ac:dyDescent="0.2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 x14ac:dyDescent="0.2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 x14ac:dyDescent="0.2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 x14ac:dyDescent="0.2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 x14ac:dyDescent="0.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 x14ac:dyDescent="0.2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 x14ac:dyDescent="0.2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 x14ac:dyDescent="0.2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 x14ac:dyDescent="0.2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 x14ac:dyDescent="0.2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 x14ac:dyDescent="0.2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 x14ac:dyDescent="0.2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 x14ac:dyDescent="0.2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 x14ac:dyDescent="0.2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 x14ac:dyDescent="0.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 x14ac:dyDescent="0.2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 x14ac:dyDescent="0.2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 x14ac:dyDescent="0.2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 x14ac:dyDescent="0.2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 x14ac:dyDescent="0.2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 x14ac:dyDescent="0.2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 x14ac:dyDescent="0.2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 x14ac:dyDescent="0.2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 x14ac:dyDescent="0.2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 x14ac:dyDescent="0.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 x14ac:dyDescent="0.2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 x14ac:dyDescent="0.2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 x14ac:dyDescent="0.2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 x14ac:dyDescent="0.2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 x14ac:dyDescent="0.2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 x14ac:dyDescent="0.2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 x14ac:dyDescent="0.2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 x14ac:dyDescent="0.2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 x14ac:dyDescent="0.2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 x14ac:dyDescent="0.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 x14ac:dyDescent="0.2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 x14ac:dyDescent="0.2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 x14ac:dyDescent="0.2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 x14ac:dyDescent="0.2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 x14ac:dyDescent="0.2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 x14ac:dyDescent="0.2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 x14ac:dyDescent="0.2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 x14ac:dyDescent="0.2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 x14ac:dyDescent="0.2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 x14ac:dyDescent="0.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 x14ac:dyDescent="0.2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 x14ac:dyDescent="0.2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 x14ac:dyDescent="0.2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 x14ac:dyDescent="0.2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 x14ac:dyDescent="0.2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 x14ac:dyDescent="0.2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 x14ac:dyDescent="0.2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 x14ac:dyDescent="0.2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 x14ac:dyDescent="0.2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 x14ac:dyDescent="0.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 x14ac:dyDescent="0.2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 x14ac:dyDescent="0.2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 x14ac:dyDescent="0.2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 x14ac:dyDescent="0.2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 x14ac:dyDescent="0.2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 x14ac:dyDescent="0.2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 x14ac:dyDescent="0.2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 x14ac:dyDescent="0.2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 x14ac:dyDescent="0.2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 x14ac:dyDescent="0.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 x14ac:dyDescent="0.2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 x14ac:dyDescent="0.2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 x14ac:dyDescent="0.2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 x14ac:dyDescent="0.2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 x14ac:dyDescent="0.2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 x14ac:dyDescent="0.2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 x14ac:dyDescent="0.2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 x14ac:dyDescent="0.2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 x14ac:dyDescent="0.2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 x14ac:dyDescent="0.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 x14ac:dyDescent="0.2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 x14ac:dyDescent="0.2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 x14ac:dyDescent="0.2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 x14ac:dyDescent="0.2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 x14ac:dyDescent="0.2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 x14ac:dyDescent="0.2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 x14ac:dyDescent="0.2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 x14ac:dyDescent="0.2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 x14ac:dyDescent="0.2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 x14ac:dyDescent="0.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 x14ac:dyDescent="0.2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 x14ac:dyDescent="0.2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 x14ac:dyDescent="0.2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 x14ac:dyDescent="0.2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 x14ac:dyDescent="0.2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 x14ac:dyDescent="0.2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 x14ac:dyDescent="0.2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 x14ac:dyDescent="0.2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 x14ac:dyDescent="0.2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 x14ac:dyDescent="0.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 x14ac:dyDescent="0.2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 x14ac:dyDescent="0.2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 x14ac:dyDescent="0.2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 x14ac:dyDescent="0.2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 x14ac:dyDescent="0.2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 x14ac:dyDescent="0.2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 x14ac:dyDescent="0.2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.75" customHeight="1" x14ac:dyDescent="0.2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ht="15.75" customHeight="1" x14ac:dyDescent="0.2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1:26" ht="15.75" customHeight="1" x14ac:dyDescent="0.2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1:26" ht="15.75" customHeight="1" x14ac:dyDescent="0.2">
      <c r="A1003" s="8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  <row r="1004" spans="1:26" ht="15.75" customHeight="1" x14ac:dyDescent="0.2">
      <c r="A1004" s="8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1:26" ht="15.75" customHeight="1" x14ac:dyDescent="0.2">
      <c r="A1005" s="8"/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</row>
  </sheetData>
  <mergeCells count="16">
    <mergeCell ref="A39:A53"/>
    <mergeCell ref="B39:O40"/>
    <mergeCell ref="I41:O41"/>
    <mergeCell ref="I43:O51"/>
    <mergeCell ref="I42:O42"/>
    <mergeCell ref="B41:H44"/>
    <mergeCell ref="B45:H48"/>
    <mergeCell ref="B52:H52"/>
    <mergeCell ref="B53:H53"/>
    <mergeCell ref="J53:N53"/>
    <mergeCell ref="B49:H51"/>
    <mergeCell ref="N1:O1"/>
    <mergeCell ref="B2:O2"/>
    <mergeCell ref="B4:M4"/>
    <mergeCell ref="N4:N38"/>
    <mergeCell ref="B6:M6"/>
  </mergeCells>
  <conditionalFormatting sqref="B37:B39 C38:D39 F38:M39 E39">
    <cfRule type="cellIs" dxfId="5" priority="1" operator="lessThan">
      <formula>0</formula>
    </cfRule>
  </conditionalFormatting>
  <conditionalFormatting sqref="C37:E37 G37:M37">
    <cfRule type="cellIs" dxfId="4" priority="2" operator="lessThan">
      <formula>0</formula>
    </cfRule>
  </conditionalFormatting>
  <pageMargins left="0.7" right="0.7" top="0.75" bottom="0.75" header="0" footer="0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C25CC-9EC2-4BAB-8A53-76D8B1DD6A87}">
  <dimension ref="A1:Z1004"/>
  <sheetViews>
    <sheetView zoomScale="85" zoomScaleNormal="85" workbookViewId="0">
      <selection activeCell="E1" sqref="E1:E1048576"/>
    </sheetView>
  </sheetViews>
  <sheetFormatPr defaultColWidth="14.42578125" defaultRowHeight="15" customHeight="1" x14ac:dyDescent="0.2"/>
  <cols>
    <col min="1" max="1" width="34" style="101" customWidth="1"/>
    <col min="2" max="2" width="15.28515625" style="120" customWidth="1"/>
    <col min="3" max="13" width="13.7109375" style="66" customWidth="1"/>
    <col min="14" max="14" width="2.28515625" style="66" customWidth="1"/>
    <col min="15" max="15" width="13.7109375" style="66" customWidth="1"/>
    <col min="16" max="16384" width="14.42578125" style="66"/>
  </cols>
  <sheetData>
    <row r="1" spans="1:26" ht="30.75" customHeight="1" x14ac:dyDescent="0.2">
      <c r="A1" s="100"/>
      <c r="B1" s="98" t="s">
        <v>41</v>
      </c>
      <c r="C1" s="63"/>
      <c r="D1" s="64"/>
      <c r="E1" s="64"/>
      <c r="F1" s="64"/>
      <c r="G1" s="64"/>
      <c r="H1" s="65"/>
      <c r="I1" s="65"/>
      <c r="J1" s="91"/>
      <c r="K1" s="92"/>
      <c r="L1" s="92"/>
      <c r="M1" s="93"/>
      <c r="N1" s="207"/>
      <c r="O1" s="208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</row>
    <row r="2" spans="1:26" ht="1.5" customHeight="1" x14ac:dyDescent="0.2">
      <c r="B2" s="209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</row>
    <row r="3" spans="1:26" s="97" customFormat="1" ht="18.75" customHeight="1" x14ac:dyDescent="0.2">
      <c r="A3" s="102" t="s">
        <v>0</v>
      </c>
      <c r="B3" s="99">
        <v>45078</v>
      </c>
      <c r="C3" s="94">
        <f t="shared" ref="C3:M3" si="0">EDATE(B3,1)</f>
        <v>45108</v>
      </c>
      <c r="D3" s="94">
        <f t="shared" si="0"/>
        <v>45139</v>
      </c>
      <c r="E3" s="94">
        <f t="shared" si="0"/>
        <v>45170</v>
      </c>
      <c r="F3" s="94">
        <f t="shared" si="0"/>
        <v>45200</v>
      </c>
      <c r="G3" s="94">
        <f t="shared" si="0"/>
        <v>45231</v>
      </c>
      <c r="H3" s="94">
        <f t="shared" si="0"/>
        <v>45261</v>
      </c>
      <c r="I3" s="94">
        <f t="shared" si="0"/>
        <v>45292</v>
      </c>
      <c r="J3" s="94">
        <f t="shared" si="0"/>
        <v>45323</v>
      </c>
      <c r="K3" s="94">
        <f t="shared" si="0"/>
        <v>45352</v>
      </c>
      <c r="L3" s="94">
        <f t="shared" si="0"/>
        <v>45383</v>
      </c>
      <c r="M3" s="94">
        <f t="shared" si="0"/>
        <v>45413</v>
      </c>
      <c r="N3" s="95"/>
      <c r="O3" s="96" t="s">
        <v>1</v>
      </c>
    </row>
    <row r="4" spans="1:26" s="106" customFormat="1" ht="9.75" customHeight="1" x14ac:dyDescent="0.2">
      <c r="A4" s="121"/>
      <c r="B4" s="211"/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3"/>
      <c r="O4" s="104"/>
      <c r="P4" s="105"/>
      <c r="Q4" s="105"/>
      <c r="R4" s="105"/>
      <c r="S4" s="105"/>
      <c r="T4" s="105"/>
    </row>
    <row r="5" spans="1:26" ht="17.25" customHeight="1" x14ac:dyDescent="0.2">
      <c r="A5" s="122" t="s">
        <v>12</v>
      </c>
      <c r="B5" s="107">
        <f>B16</f>
        <v>5661680</v>
      </c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210"/>
      <c r="O5" s="70">
        <f>SUM(B5:M5)</f>
        <v>5661680</v>
      </c>
      <c r="P5" s="68"/>
      <c r="Q5" s="68"/>
      <c r="R5" s="68"/>
      <c r="S5" s="68"/>
      <c r="T5" s="68"/>
      <c r="U5" s="103"/>
      <c r="V5" s="103"/>
      <c r="W5" s="103"/>
      <c r="X5" s="103"/>
      <c r="Y5" s="103"/>
      <c r="Z5" s="103"/>
    </row>
    <row r="6" spans="1:26" ht="17.25" customHeight="1" x14ac:dyDescent="0.2">
      <c r="A6" s="123"/>
      <c r="B6" s="214" t="s">
        <v>2</v>
      </c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  <c r="O6" s="71"/>
      <c r="P6" s="68"/>
      <c r="Q6" s="68"/>
      <c r="R6" s="68"/>
      <c r="S6" s="68"/>
      <c r="T6" s="68"/>
      <c r="U6" s="103"/>
      <c r="V6" s="103"/>
      <c r="W6" s="103"/>
      <c r="X6" s="103"/>
      <c r="Y6" s="103"/>
      <c r="Z6" s="103"/>
    </row>
    <row r="7" spans="1:26" ht="17.25" customHeight="1" x14ac:dyDescent="0.2">
      <c r="A7" s="124" t="s">
        <v>3</v>
      </c>
      <c r="B7" s="108">
        <f>B13*B14+B15*B10</f>
        <v>1603000</v>
      </c>
      <c r="C7" s="72">
        <f t="shared" ref="C7:M7" si="1">C13*C14+C15*C10</f>
        <v>1838000</v>
      </c>
      <c r="D7" s="72">
        <f t="shared" si="1"/>
        <v>2299250</v>
      </c>
      <c r="E7" s="72">
        <f t="shared" si="1"/>
        <v>2875812.5</v>
      </c>
      <c r="F7" s="72">
        <f t="shared" si="1"/>
        <v>3596515.625</v>
      </c>
      <c r="G7" s="72">
        <f t="shared" si="1"/>
        <v>4497394.53125</v>
      </c>
      <c r="H7" s="72">
        <f t="shared" si="1"/>
        <v>5173053.7109375</v>
      </c>
      <c r="I7" s="72">
        <f t="shared" si="1"/>
        <v>5950061.767578125</v>
      </c>
      <c r="J7" s="72">
        <f t="shared" si="1"/>
        <v>6545767.9443359375</v>
      </c>
      <c r="K7" s="72">
        <f t="shared" si="1"/>
        <v>7201044.7387695313</v>
      </c>
      <c r="L7" s="72">
        <f t="shared" si="1"/>
        <v>7921849.2126464844</v>
      </c>
      <c r="M7" s="72">
        <f t="shared" si="1"/>
        <v>8714734.1339111328</v>
      </c>
      <c r="N7" s="210"/>
      <c r="O7" s="72">
        <f t="shared" ref="O7:O8" si="2">SUM(B7:M7)</f>
        <v>58216484.164428711</v>
      </c>
      <c r="P7" s="68"/>
      <c r="Q7" s="68"/>
      <c r="R7" s="68"/>
      <c r="S7" s="68"/>
      <c r="T7" s="68"/>
      <c r="U7" s="103"/>
      <c r="V7" s="103"/>
      <c r="W7" s="103"/>
      <c r="X7" s="103"/>
      <c r="Y7" s="103"/>
      <c r="Z7" s="103"/>
    </row>
    <row r="8" spans="1:26" ht="17.25" customHeight="1" x14ac:dyDescent="0.2">
      <c r="A8" s="125" t="s">
        <v>42</v>
      </c>
      <c r="B8" s="109">
        <v>5000</v>
      </c>
      <c r="C8" s="73">
        <v>4000</v>
      </c>
      <c r="D8" s="73">
        <f>C8+1500</f>
        <v>5500</v>
      </c>
      <c r="E8" s="73">
        <f>D8+1500</f>
        <v>7000</v>
      </c>
      <c r="F8" s="73">
        <f>E8+1500</f>
        <v>8500</v>
      </c>
      <c r="G8" s="73">
        <f>F8+900</f>
        <v>9400</v>
      </c>
      <c r="H8" s="73">
        <f>G8+900</f>
        <v>10300</v>
      </c>
      <c r="I8" s="73">
        <f>H8+700</f>
        <v>11000</v>
      </c>
      <c r="J8" s="73">
        <f>I8+700</f>
        <v>11700</v>
      </c>
      <c r="K8" s="73">
        <f>J8+500</f>
        <v>12200</v>
      </c>
      <c r="L8" s="73">
        <f>K8+500</f>
        <v>12700</v>
      </c>
      <c r="M8" s="73">
        <f>L8</f>
        <v>12700</v>
      </c>
      <c r="N8" s="210"/>
      <c r="O8" s="74">
        <f t="shared" si="2"/>
        <v>110000</v>
      </c>
      <c r="P8" s="68"/>
      <c r="Q8" s="68"/>
      <c r="R8" s="68"/>
      <c r="S8" s="68"/>
      <c r="T8" s="68"/>
      <c r="U8" s="103"/>
      <c r="V8" s="103"/>
      <c r="W8" s="103"/>
      <c r="X8" s="103"/>
      <c r="Y8" s="103"/>
      <c r="Z8" s="103"/>
    </row>
    <row r="9" spans="1:26" ht="17.25" customHeight="1" x14ac:dyDescent="0.2">
      <c r="A9" s="125" t="s">
        <v>43</v>
      </c>
      <c r="B9" s="110">
        <v>0.01</v>
      </c>
      <c r="C9" s="76">
        <v>0.01</v>
      </c>
      <c r="D9" s="76">
        <v>0.02</v>
      </c>
      <c r="E9" s="76">
        <v>0.02</v>
      </c>
      <c r="F9" s="76">
        <v>0.02</v>
      </c>
      <c r="G9" s="76">
        <v>0.02</v>
      </c>
      <c r="H9" s="76">
        <v>0.02</v>
      </c>
      <c r="I9" s="76">
        <v>0.02</v>
      </c>
      <c r="J9" s="76">
        <v>0.02</v>
      </c>
      <c r="K9" s="76">
        <v>0.02</v>
      </c>
      <c r="L9" s="76">
        <v>0.02</v>
      </c>
      <c r="M9" s="76">
        <v>0.02</v>
      </c>
      <c r="N9" s="210"/>
      <c r="O9" s="71"/>
      <c r="P9" s="68"/>
      <c r="Q9" s="68"/>
      <c r="R9" s="68"/>
      <c r="S9" s="68"/>
      <c r="T9" s="68"/>
      <c r="U9" s="103"/>
      <c r="V9" s="103"/>
      <c r="W9" s="103"/>
      <c r="X9" s="103"/>
      <c r="Y9" s="103"/>
      <c r="Z9" s="103"/>
    </row>
    <row r="10" spans="1:26" ht="17.25" customHeight="1" x14ac:dyDescent="0.2">
      <c r="A10" s="126" t="s">
        <v>44</v>
      </c>
      <c r="B10" s="109">
        <v>35</v>
      </c>
      <c r="C10" s="73">
        <v>40</v>
      </c>
      <c r="D10" s="73">
        <f>C10+C10*25%</f>
        <v>50</v>
      </c>
      <c r="E10" s="73">
        <f>D10+D10*25%</f>
        <v>62.5</v>
      </c>
      <c r="F10" s="73">
        <f t="shared" ref="F10:G11" si="3">E10+E10*25%</f>
        <v>78.125</v>
      </c>
      <c r="G10" s="73">
        <f t="shared" si="3"/>
        <v>97.65625</v>
      </c>
      <c r="H10" s="73">
        <f>G10+G10*15%</f>
        <v>112.3046875</v>
      </c>
      <c r="I10" s="73">
        <f>H10+H10*15%</f>
        <v>129.150390625</v>
      </c>
      <c r="J10" s="73">
        <f>I10+I10*10%</f>
        <v>142.0654296875</v>
      </c>
      <c r="K10" s="73">
        <f>J10+J10*10%</f>
        <v>156.27197265625</v>
      </c>
      <c r="L10" s="73">
        <f>K10+K10*10%</f>
        <v>171.899169921875</v>
      </c>
      <c r="M10" s="73">
        <f>L10+L10*10%</f>
        <v>189.08908691406251</v>
      </c>
      <c r="N10" s="210"/>
      <c r="O10" s="71"/>
      <c r="P10" s="68"/>
      <c r="Q10" s="68"/>
      <c r="R10" s="68"/>
      <c r="S10" s="68"/>
      <c r="T10" s="68"/>
      <c r="U10" s="103"/>
      <c r="V10" s="103"/>
      <c r="W10" s="103"/>
      <c r="X10" s="103"/>
      <c r="Y10" s="103"/>
      <c r="Z10" s="103"/>
    </row>
    <row r="11" spans="1:26" ht="17.25" customHeight="1" x14ac:dyDescent="0.2">
      <c r="A11" s="126" t="s">
        <v>45</v>
      </c>
      <c r="B11" s="111">
        <v>60</v>
      </c>
      <c r="C11" s="77">
        <v>70</v>
      </c>
      <c r="D11" s="73">
        <f>C11+C11*25%</f>
        <v>87.5</v>
      </c>
      <c r="E11" s="73">
        <f>D11+D11*25%</f>
        <v>109.375</v>
      </c>
      <c r="F11" s="73">
        <f t="shared" si="3"/>
        <v>136.71875</v>
      </c>
      <c r="G11" s="73">
        <f t="shared" si="3"/>
        <v>170.8984375</v>
      </c>
      <c r="H11" s="73">
        <f>G11+G11*15%</f>
        <v>196.533203125</v>
      </c>
      <c r="I11" s="73">
        <f>H11+H11*15%</f>
        <v>226.01318359375</v>
      </c>
      <c r="J11" s="73">
        <f>I11+I11*10%</f>
        <v>248.614501953125</v>
      </c>
      <c r="K11" s="73">
        <f t="shared" ref="K11:M11" si="4">J11+J11*10%</f>
        <v>273.4759521484375</v>
      </c>
      <c r="L11" s="73">
        <f t="shared" si="4"/>
        <v>300.82354736328125</v>
      </c>
      <c r="M11" s="73">
        <f t="shared" si="4"/>
        <v>330.90590209960936</v>
      </c>
      <c r="N11" s="210"/>
      <c r="O11" s="78">
        <f>SUM(B11:M11)</f>
        <v>2210.8584777832029</v>
      </c>
      <c r="P11" s="68"/>
      <c r="Q11" s="68"/>
      <c r="R11" s="68"/>
      <c r="S11" s="68"/>
      <c r="T11" s="68"/>
      <c r="U11" s="103"/>
      <c r="V11" s="103"/>
      <c r="W11" s="103"/>
      <c r="X11" s="103"/>
      <c r="Y11" s="103"/>
      <c r="Z11" s="103"/>
    </row>
    <row r="12" spans="1:26" ht="17.25" customHeight="1" x14ac:dyDescent="0.2">
      <c r="A12" s="125" t="s">
        <v>46</v>
      </c>
      <c r="B12" s="110">
        <f>B11/B8*100</f>
        <v>1.2</v>
      </c>
      <c r="C12" s="75">
        <f t="shared" ref="C12:M12" si="5">C11/C8*100</f>
        <v>1.7500000000000002</v>
      </c>
      <c r="D12" s="75">
        <f t="shared" si="5"/>
        <v>1.5909090909090908</v>
      </c>
      <c r="E12" s="75">
        <f t="shared" si="5"/>
        <v>1.5625</v>
      </c>
      <c r="F12" s="75">
        <f t="shared" si="5"/>
        <v>1.6084558823529411</v>
      </c>
      <c r="G12" s="75">
        <f t="shared" si="5"/>
        <v>1.8180684840425529</v>
      </c>
      <c r="H12" s="75">
        <f t="shared" si="5"/>
        <v>1.9080893507281556</v>
      </c>
      <c r="I12" s="75">
        <f t="shared" si="5"/>
        <v>2.0546653053977271</v>
      </c>
      <c r="J12" s="75">
        <f t="shared" si="5"/>
        <v>2.1249102731036325</v>
      </c>
      <c r="K12" s="75">
        <f t="shared" si="5"/>
        <v>2.241606165151127</v>
      </c>
      <c r="L12" s="75">
        <f t="shared" si="5"/>
        <v>2.368689349317175</v>
      </c>
      <c r="M12" s="75">
        <f t="shared" si="5"/>
        <v>2.6055582842488927</v>
      </c>
      <c r="N12" s="210"/>
      <c r="O12" s="71"/>
      <c r="P12" s="68"/>
      <c r="Q12" s="68"/>
      <c r="R12" s="68"/>
      <c r="S12" s="68"/>
      <c r="T12" s="68"/>
      <c r="U12" s="103"/>
      <c r="V12" s="103"/>
      <c r="W12" s="103"/>
      <c r="X12" s="103"/>
      <c r="Y12" s="103"/>
      <c r="Z12" s="103"/>
    </row>
    <row r="13" spans="1:26" ht="17.25" customHeight="1" x14ac:dyDescent="0.2">
      <c r="A13" s="126" t="s">
        <v>4</v>
      </c>
      <c r="B13" s="111">
        <f>B11-2</f>
        <v>58</v>
      </c>
      <c r="C13" s="77">
        <f t="shared" ref="C13:M13" si="6">C11-2</f>
        <v>68</v>
      </c>
      <c r="D13" s="77">
        <f t="shared" si="6"/>
        <v>85.5</v>
      </c>
      <c r="E13" s="77">
        <f t="shared" si="6"/>
        <v>107.375</v>
      </c>
      <c r="F13" s="77">
        <f t="shared" si="6"/>
        <v>134.71875</v>
      </c>
      <c r="G13" s="77">
        <f t="shared" si="6"/>
        <v>168.8984375</v>
      </c>
      <c r="H13" s="77">
        <f t="shared" si="6"/>
        <v>194.533203125</v>
      </c>
      <c r="I13" s="77">
        <f t="shared" si="6"/>
        <v>224.01318359375</v>
      </c>
      <c r="J13" s="77">
        <f t="shared" si="6"/>
        <v>246.614501953125</v>
      </c>
      <c r="K13" s="77">
        <f t="shared" si="6"/>
        <v>271.4759521484375</v>
      </c>
      <c r="L13" s="77">
        <f t="shared" si="6"/>
        <v>298.82354736328125</v>
      </c>
      <c r="M13" s="77">
        <f t="shared" si="6"/>
        <v>328.90590209960936</v>
      </c>
      <c r="N13" s="210"/>
      <c r="O13" s="78">
        <f>SUM(B13:M13)</f>
        <v>2186.8584777832029</v>
      </c>
      <c r="P13" s="68"/>
      <c r="Q13" s="68"/>
      <c r="R13" s="68"/>
      <c r="S13" s="68"/>
      <c r="T13" s="68"/>
      <c r="U13" s="103"/>
      <c r="V13" s="103"/>
      <c r="W13" s="103"/>
      <c r="X13" s="103"/>
      <c r="Y13" s="103"/>
      <c r="Z13" s="103"/>
    </row>
    <row r="14" spans="1:26" ht="17.25" customHeight="1" x14ac:dyDescent="0.2">
      <c r="A14" s="127" t="s">
        <v>47</v>
      </c>
      <c r="B14" s="109">
        <v>3500</v>
      </c>
      <c r="C14" s="73">
        <f t="shared" ref="C14:M14" si="7">B14</f>
        <v>3500</v>
      </c>
      <c r="D14" s="73">
        <f t="shared" si="7"/>
        <v>3500</v>
      </c>
      <c r="E14" s="73">
        <f t="shared" si="7"/>
        <v>3500</v>
      </c>
      <c r="F14" s="73">
        <f t="shared" si="7"/>
        <v>3500</v>
      </c>
      <c r="G14" s="73">
        <f t="shared" si="7"/>
        <v>3500</v>
      </c>
      <c r="H14" s="73">
        <f t="shared" si="7"/>
        <v>3500</v>
      </c>
      <c r="I14" s="73">
        <f t="shared" si="7"/>
        <v>3500</v>
      </c>
      <c r="J14" s="73">
        <f t="shared" si="7"/>
        <v>3500</v>
      </c>
      <c r="K14" s="73">
        <f t="shared" si="7"/>
        <v>3500</v>
      </c>
      <c r="L14" s="73">
        <f t="shared" si="7"/>
        <v>3500</v>
      </c>
      <c r="M14" s="73">
        <f t="shared" si="7"/>
        <v>3500</v>
      </c>
      <c r="N14" s="210"/>
      <c r="O14" s="79">
        <f>AVERAGE(B14:M14)</f>
        <v>3500</v>
      </c>
      <c r="P14" s="68"/>
      <c r="Q14" s="68"/>
      <c r="R14" s="68"/>
      <c r="S14" s="68"/>
      <c r="T14" s="68"/>
      <c r="U14" s="103"/>
      <c r="V14" s="103"/>
      <c r="W14" s="103"/>
      <c r="X14" s="103"/>
      <c r="Y14" s="103"/>
      <c r="Z14" s="103"/>
    </row>
    <row r="15" spans="1:26" ht="17.25" customHeight="1" x14ac:dyDescent="0.2">
      <c r="A15" s="127" t="s">
        <v>48</v>
      </c>
      <c r="B15" s="112">
        <f>40000</f>
        <v>40000</v>
      </c>
      <c r="C15" s="74">
        <f>40000</f>
        <v>40000</v>
      </c>
      <c r="D15" s="74">
        <f>40000</f>
        <v>40000</v>
      </c>
      <c r="E15" s="74">
        <f>40000</f>
        <v>40000</v>
      </c>
      <c r="F15" s="74">
        <f>40000</f>
        <v>40000</v>
      </c>
      <c r="G15" s="74">
        <f>40000</f>
        <v>40000</v>
      </c>
      <c r="H15" s="74">
        <f>40000</f>
        <v>40000</v>
      </c>
      <c r="I15" s="74">
        <f>40000</f>
        <v>40000</v>
      </c>
      <c r="J15" s="74">
        <f>40000</f>
        <v>40000</v>
      </c>
      <c r="K15" s="74">
        <f>40000</f>
        <v>40000</v>
      </c>
      <c r="L15" s="74">
        <f>40000</f>
        <v>40000</v>
      </c>
      <c r="M15" s="74">
        <f>40000</f>
        <v>40000</v>
      </c>
      <c r="N15" s="210"/>
      <c r="O15" s="74"/>
      <c r="P15" s="68"/>
      <c r="Q15" s="68"/>
      <c r="R15" s="68"/>
      <c r="S15" s="68"/>
      <c r="T15" s="68"/>
      <c r="U15" s="103"/>
      <c r="V15" s="103"/>
      <c r="W15" s="103"/>
      <c r="X15" s="103"/>
      <c r="Y15" s="103"/>
      <c r="Z15" s="103"/>
    </row>
    <row r="16" spans="1:26" ht="17.25" customHeight="1" x14ac:dyDescent="0.2">
      <c r="A16" s="128" t="s">
        <v>5</v>
      </c>
      <c r="B16" s="113">
        <f t="shared" ref="B16:M16" si="8">SUM(B17:B30)</f>
        <v>5661680</v>
      </c>
      <c r="C16" s="80">
        <f t="shared" si="8"/>
        <v>1885070</v>
      </c>
      <c r="D16" s="80">
        <f t="shared" si="8"/>
        <v>2223517.5</v>
      </c>
      <c r="E16" s="80">
        <f t="shared" si="8"/>
        <v>2646576.875</v>
      </c>
      <c r="F16" s="80">
        <f t="shared" si="8"/>
        <v>3175401.09375</v>
      </c>
      <c r="G16" s="80">
        <f t="shared" si="8"/>
        <v>3836431.3671875</v>
      </c>
      <c r="H16" s="80">
        <f t="shared" si="8"/>
        <v>4332204.072265625</v>
      </c>
      <c r="I16" s="80">
        <f t="shared" si="8"/>
        <v>4902342.6831054688</v>
      </c>
      <c r="J16" s="80">
        <f t="shared" si="8"/>
        <v>5339448.9514160156</v>
      </c>
      <c r="K16" s="80">
        <f t="shared" si="8"/>
        <v>5820265.8465576172</v>
      </c>
      <c r="L16" s="80">
        <f t="shared" si="8"/>
        <v>6349164.4312133789</v>
      </c>
      <c r="M16" s="80">
        <f t="shared" si="8"/>
        <v>6930952.8743347172</v>
      </c>
      <c r="N16" s="210"/>
      <c r="O16" s="80">
        <f t="shared" ref="O16:O18" si="9">SUM(B16:M16)</f>
        <v>53103055.694830321</v>
      </c>
      <c r="P16" s="68"/>
      <c r="Q16" s="68"/>
      <c r="R16" s="68"/>
      <c r="S16" s="68"/>
      <c r="T16" s="68"/>
      <c r="U16" s="103"/>
      <c r="V16" s="103"/>
      <c r="W16" s="103"/>
      <c r="X16" s="103"/>
      <c r="Y16" s="103"/>
      <c r="Z16" s="103"/>
    </row>
    <row r="17" spans="1:26" ht="17.25" customHeight="1" x14ac:dyDescent="0.2">
      <c r="A17" s="125" t="s">
        <v>49</v>
      </c>
      <c r="B17" s="114">
        <f t="shared" ref="B17:M17" si="10">20000+(B7*10/100)*4</f>
        <v>661200</v>
      </c>
      <c r="C17" s="79">
        <f t="shared" si="10"/>
        <v>755200</v>
      </c>
      <c r="D17" s="79">
        <f t="shared" si="10"/>
        <v>939700</v>
      </c>
      <c r="E17" s="79">
        <f t="shared" si="10"/>
        <v>1170325</v>
      </c>
      <c r="F17" s="79">
        <f t="shared" si="10"/>
        <v>1458606.25</v>
      </c>
      <c r="G17" s="79">
        <f t="shared" si="10"/>
        <v>1818957.8125</v>
      </c>
      <c r="H17" s="79">
        <f t="shared" si="10"/>
        <v>2089221.484375</v>
      </c>
      <c r="I17" s="79">
        <f t="shared" si="10"/>
        <v>2400024.70703125</v>
      </c>
      <c r="J17" s="79">
        <f t="shared" si="10"/>
        <v>2638307.177734375</v>
      </c>
      <c r="K17" s="79">
        <f t="shared" si="10"/>
        <v>2900417.8955078125</v>
      </c>
      <c r="L17" s="79">
        <f t="shared" si="10"/>
        <v>3188739.6850585938</v>
      </c>
      <c r="M17" s="79">
        <f t="shared" si="10"/>
        <v>3505893.6535644531</v>
      </c>
      <c r="N17" s="210"/>
      <c r="O17" s="74">
        <f t="shared" ref="O17" si="11">SUM(B17:M17)</f>
        <v>23526593.665771484</v>
      </c>
      <c r="P17" s="68"/>
      <c r="Q17" s="68"/>
      <c r="R17" s="68"/>
      <c r="S17" s="68"/>
      <c r="T17" s="68"/>
      <c r="U17" s="103"/>
      <c r="V17" s="103"/>
      <c r="W17" s="103"/>
      <c r="X17" s="103"/>
      <c r="Y17" s="103"/>
      <c r="Z17" s="103"/>
    </row>
    <row r="18" spans="1:26" ht="17.25" customHeight="1" x14ac:dyDescent="0.2">
      <c r="A18" s="125" t="s">
        <v>50</v>
      </c>
      <c r="B18" s="114">
        <f>80*B11+3700*B10</f>
        <v>134300</v>
      </c>
      <c r="C18" s="79">
        <f t="shared" ref="C18:M18" si="12">80*C11+3700*C10</f>
        <v>153600</v>
      </c>
      <c r="D18" s="79">
        <f t="shared" si="12"/>
        <v>192000</v>
      </c>
      <c r="E18" s="79">
        <f t="shared" si="12"/>
        <v>240000</v>
      </c>
      <c r="F18" s="79">
        <f t="shared" si="12"/>
        <v>300000</v>
      </c>
      <c r="G18" s="79">
        <f t="shared" si="12"/>
        <v>375000</v>
      </c>
      <c r="H18" s="79">
        <f t="shared" si="12"/>
        <v>431250</v>
      </c>
      <c r="I18" s="79">
        <f t="shared" si="12"/>
        <v>495937.5</v>
      </c>
      <c r="J18" s="79">
        <f t="shared" si="12"/>
        <v>545531.25</v>
      </c>
      <c r="K18" s="79">
        <f t="shared" si="12"/>
        <v>600084.375</v>
      </c>
      <c r="L18" s="79">
        <f t="shared" si="12"/>
        <v>660092.8125</v>
      </c>
      <c r="M18" s="79">
        <f t="shared" si="12"/>
        <v>726102.09375</v>
      </c>
      <c r="N18" s="210"/>
      <c r="O18" s="74">
        <f t="shared" si="9"/>
        <v>4853898.03125</v>
      </c>
      <c r="P18" s="68"/>
      <c r="Q18" s="68"/>
      <c r="R18" s="68"/>
      <c r="S18" s="68"/>
      <c r="T18" s="68"/>
      <c r="U18" s="103"/>
      <c r="V18" s="103"/>
      <c r="W18" s="103"/>
      <c r="X18" s="103"/>
      <c r="Y18" s="103"/>
      <c r="Z18" s="103"/>
    </row>
    <row r="19" spans="1:26" ht="17.25" customHeight="1" x14ac:dyDescent="0.2">
      <c r="A19" s="129" t="s">
        <v>6</v>
      </c>
      <c r="B19" s="114">
        <f>7500*43%*20</f>
        <v>64500</v>
      </c>
      <c r="C19" s="79">
        <f t="shared" ref="C19:M19" si="13">7500*43%*20</f>
        <v>64500</v>
      </c>
      <c r="D19" s="79">
        <f t="shared" si="13"/>
        <v>64500</v>
      </c>
      <c r="E19" s="79">
        <f t="shared" si="13"/>
        <v>64500</v>
      </c>
      <c r="F19" s="79">
        <f t="shared" si="13"/>
        <v>64500</v>
      </c>
      <c r="G19" s="79">
        <f t="shared" si="13"/>
        <v>64500</v>
      </c>
      <c r="H19" s="79">
        <f t="shared" si="13"/>
        <v>64500</v>
      </c>
      <c r="I19" s="79">
        <f t="shared" si="13"/>
        <v>64500</v>
      </c>
      <c r="J19" s="79">
        <f t="shared" si="13"/>
        <v>64500</v>
      </c>
      <c r="K19" s="79">
        <f t="shared" si="13"/>
        <v>64500</v>
      </c>
      <c r="L19" s="79">
        <f t="shared" si="13"/>
        <v>64500</v>
      </c>
      <c r="M19" s="79">
        <f t="shared" si="13"/>
        <v>64500</v>
      </c>
      <c r="N19" s="210"/>
      <c r="O19" s="79">
        <f>O18*43%</f>
        <v>2087176.1534374999</v>
      </c>
      <c r="P19" s="68"/>
      <c r="Q19" s="68"/>
      <c r="R19" s="68"/>
      <c r="S19" s="68"/>
      <c r="T19" s="68"/>
      <c r="U19" s="103"/>
      <c r="V19" s="103"/>
      <c r="W19" s="103"/>
      <c r="X19" s="103"/>
      <c r="Y19" s="103"/>
      <c r="Z19" s="103"/>
    </row>
    <row r="20" spans="1:26" ht="17.25" customHeight="1" x14ac:dyDescent="0.2">
      <c r="A20" s="130" t="s">
        <v>51</v>
      </c>
      <c r="B20" s="114">
        <f>600*B11</f>
        <v>36000</v>
      </c>
      <c r="C20" s="79">
        <f t="shared" ref="C20:M20" si="14">600*C11</f>
        <v>42000</v>
      </c>
      <c r="D20" s="79">
        <f t="shared" si="14"/>
        <v>52500</v>
      </c>
      <c r="E20" s="79">
        <f t="shared" si="14"/>
        <v>65625</v>
      </c>
      <c r="F20" s="79">
        <f t="shared" si="14"/>
        <v>82031.25</v>
      </c>
      <c r="G20" s="79">
        <f t="shared" si="14"/>
        <v>102539.0625</v>
      </c>
      <c r="H20" s="79">
        <f t="shared" si="14"/>
        <v>117919.921875</v>
      </c>
      <c r="I20" s="79">
        <f t="shared" si="14"/>
        <v>135607.91015625</v>
      </c>
      <c r="J20" s="79">
        <f t="shared" si="14"/>
        <v>149168.701171875</v>
      </c>
      <c r="K20" s="79">
        <f t="shared" si="14"/>
        <v>164085.5712890625</v>
      </c>
      <c r="L20" s="79">
        <f t="shared" si="14"/>
        <v>180494.12841796875</v>
      </c>
      <c r="M20" s="79">
        <f t="shared" si="14"/>
        <v>198543.54125976563</v>
      </c>
      <c r="N20" s="210"/>
      <c r="O20" s="79">
        <f>O19*43%</f>
        <v>897485.74597812491</v>
      </c>
      <c r="P20" s="68"/>
      <c r="Q20" s="68"/>
      <c r="R20" s="68"/>
      <c r="S20" s="68"/>
      <c r="T20" s="68"/>
      <c r="U20" s="103"/>
      <c r="V20" s="103"/>
      <c r="W20" s="103"/>
      <c r="X20" s="103"/>
      <c r="Y20" s="103"/>
      <c r="Z20" s="103"/>
    </row>
    <row r="21" spans="1:26" ht="17.25" customHeight="1" x14ac:dyDescent="0.2">
      <c r="A21" s="130" t="s">
        <v>52</v>
      </c>
      <c r="B21" s="114">
        <f>6500*B10</f>
        <v>227500</v>
      </c>
      <c r="C21" s="79">
        <f t="shared" ref="C21:M21" si="15">6500*C10</f>
        <v>260000</v>
      </c>
      <c r="D21" s="79">
        <f t="shared" si="15"/>
        <v>325000</v>
      </c>
      <c r="E21" s="79">
        <f t="shared" si="15"/>
        <v>406250</v>
      </c>
      <c r="F21" s="79">
        <f t="shared" si="15"/>
        <v>507812.5</v>
      </c>
      <c r="G21" s="79">
        <f t="shared" si="15"/>
        <v>634765.625</v>
      </c>
      <c r="H21" s="79">
        <f t="shared" si="15"/>
        <v>729980.46875</v>
      </c>
      <c r="I21" s="79">
        <f t="shared" si="15"/>
        <v>839477.5390625</v>
      </c>
      <c r="J21" s="79">
        <f t="shared" si="15"/>
        <v>923425.29296875</v>
      </c>
      <c r="K21" s="79">
        <f t="shared" si="15"/>
        <v>1015767.822265625</v>
      </c>
      <c r="L21" s="79">
        <f t="shared" si="15"/>
        <v>1117344.6044921875</v>
      </c>
      <c r="M21" s="79">
        <f t="shared" si="15"/>
        <v>1229079.0649414063</v>
      </c>
      <c r="N21" s="210"/>
      <c r="O21" s="79">
        <f>O20*43%</f>
        <v>385918.8707705937</v>
      </c>
      <c r="P21" s="68"/>
      <c r="Q21" s="68"/>
      <c r="R21" s="68"/>
      <c r="S21" s="68"/>
      <c r="T21" s="68"/>
      <c r="U21" s="103"/>
      <c r="V21" s="103"/>
      <c r="W21" s="103"/>
      <c r="X21" s="103"/>
      <c r="Y21" s="103"/>
      <c r="Z21" s="103"/>
    </row>
    <row r="22" spans="1:26" ht="17.25" customHeight="1" x14ac:dyDescent="0.2">
      <c r="A22" s="129" t="s">
        <v>53</v>
      </c>
      <c r="B22" s="114">
        <v>300000</v>
      </c>
      <c r="C22" s="79">
        <v>300000</v>
      </c>
      <c r="D22" s="79">
        <v>300000</v>
      </c>
      <c r="E22" s="79">
        <v>300000</v>
      </c>
      <c r="F22" s="79">
        <v>300000</v>
      </c>
      <c r="G22" s="79">
        <v>300000</v>
      </c>
      <c r="H22" s="79">
        <v>300000</v>
      </c>
      <c r="I22" s="79">
        <v>300000</v>
      </c>
      <c r="J22" s="79">
        <v>300000</v>
      </c>
      <c r="K22" s="79">
        <v>300000</v>
      </c>
      <c r="L22" s="79">
        <v>300000</v>
      </c>
      <c r="M22" s="79">
        <v>300000</v>
      </c>
      <c r="N22" s="210"/>
      <c r="O22" s="74">
        <f t="shared" ref="O22:O30" si="16">SUM(B22:M22)</f>
        <v>3600000</v>
      </c>
      <c r="P22" s="68"/>
      <c r="Q22" s="68"/>
      <c r="R22" s="68"/>
      <c r="S22" s="68"/>
      <c r="T22" s="68"/>
      <c r="U22" s="103"/>
      <c r="V22" s="103"/>
      <c r="W22" s="103"/>
      <c r="X22" s="103"/>
      <c r="Y22" s="103"/>
      <c r="Z22" s="103"/>
    </row>
    <row r="23" spans="1:26" ht="17.25" customHeight="1" x14ac:dyDescent="0.2">
      <c r="A23" s="129" t="s">
        <v>54</v>
      </c>
      <c r="B23" s="114">
        <v>350000</v>
      </c>
      <c r="C23" s="79">
        <v>0</v>
      </c>
      <c r="D23" s="79">
        <f t="shared" ref="D23:M23" si="17">C23</f>
        <v>0</v>
      </c>
      <c r="E23" s="79">
        <f t="shared" si="17"/>
        <v>0</v>
      </c>
      <c r="F23" s="79">
        <f t="shared" si="17"/>
        <v>0</v>
      </c>
      <c r="G23" s="79">
        <f t="shared" si="17"/>
        <v>0</v>
      </c>
      <c r="H23" s="79">
        <f t="shared" si="17"/>
        <v>0</v>
      </c>
      <c r="I23" s="79">
        <f t="shared" si="17"/>
        <v>0</v>
      </c>
      <c r="J23" s="79">
        <f t="shared" si="17"/>
        <v>0</v>
      </c>
      <c r="K23" s="79">
        <f t="shared" si="17"/>
        <v>0</v>
      </c>
      <c r="L23" s="79">
        <f t="shared" si="17"/>
        <v>0</v>
      </c>
      <c r="M23" s="79">
        <f t="shared" si="17"/>
        <v>0</v>
      </c>
      <c r="N23" s="210"/>
      <c r="O23" s="74">
        <f t="shared" ref="O23" si="18">SUM(B23:M23)</f>
        <v>350000</v>
      </c>
      <c r="P23" s="68"/>
      <c r="Q23" s="68"/>
      <c r="R23" s="68"/>
      <c r="S23" s="68"/>
      <c r="T23" s="68"/>
      <c r="U23" s="103"/>
      <c r="V23" s="103"/>
      <c r="W23" s="103"/>
      <c r="X23" s="103"/>
      <c r="Y23" s="103"/>
      <c r="Z23" s="103"/>
    </row>
    <row r="24" spans="1:26" ht="17.25" customHeight="1" x14ac:dyDescent="0.2">
      <c r="A24" s="130" t="s">
        <v>55</v>
      </c>
      <c r="B24" s="114">
        <v>100000</v>
      </c>
      <c r="C24" s="79">
        <v>100000</v>
      </c>
      <c r="D24" s="79">
        <v>100000</v>
      </c>
      <c r="E24" s="79">
        <v>100000</v>
      </c>
      <c r="F24" s="79">
        <v>100000</v>
      </c>
      <c r="G24" s="79">
        <v>100000</v>
      </c>
      <c r="H24" s="79">
        <v>100000</v>
      </c>
      <c r="I24" s="79">
        <v>100000</v>
      </c>
      <c r="J24" s="79">
        <v>100000</v>
      </c>
      <c r="K24" s="79">
        <v>100000</v>
      </c>
      <c r="L24" s="79">
        <v>100000</v>
      </c>
      <c r="M24" s="79">
        <v>100000</v>
      </c>
      <c r="N24" s="210"/>
      <c r="O24" s="74">
        <f t="shared" si="16"/>
        <v>1200000</v>
      </c>
      <c r="P24" s="68"/>
      <c r="Q24" s="68"/>
      <c r="R24" s="68"/>
      <c r="S24" s="68"/>
      <c r="T24" s="68"/>
      <c r="U24" s="103"/>
      <c r="V24" s="103"/>
      <c r="W24" s="103"/>
      <c r="X24" s="103"/>
      <c r="Y24" s="103"/>
      <c r="Z24" s="103"/>
    </row>
    <row r="25" spans="1:26" ht="17.25" customHeight="1" x14ac:dyDescent="0.2">
      <c r="A25" s="130" t="s">
        <v>56</v>
      </c>
      <c r="B25" s="114">
        <v>50000</v>
      </c>
      <c r="C25" s="79">
        <v>50000</v>
      </c>
      <c r="D25" s="79">
        <v>50000</v>
      </c>
      <c r="E25" s="79">
        <v>50000</v>
      </c>
      <c r="F25" s="79">
        <v>50000</v>
      </c>
      <c r="G25" s="79">
        <v>50000</v>
      </c>
      <c r="H25" s="79">
        <v>50000</v>
      </c>
      <c r="I25" s="79">
        <v>50000</v>
      </c>
      <c r="J25" s="79">
        <v>50000</v>
      </c>
      <c r="K25" s="79">
        <v>50000</v>
      </c>
      <c r="L25" s="79">
        <v>50000</v>
      </c>
      <c r="M25" s="79">
        <v>50000</v>
      </c>
      <c r="N25" s="210"/>
      <c r="O25" s="74">
        <f t="shared" si="16"/>
        <v>600000</v>
      </c>
      <c r="P25" s="68"/>
      <c r="Q25" s="68"/>
      <c r="R25" s="68"/>
      <c r="S25" s="68"/>
      <c r="T25" s="68"/>
      <c r="U25" s="103"/>
      <c r="V25" s="103"/>
      <c r="W25" s="103"/>
      <c r="X25" s="103"/>
      <c r="Y25" s="103"/>
      <c r="Z25" s="103"/>
    </row>
    <row r="26" spans="1:26" ht="17.25" customHeight="1" x14ac:dyDescent="0.2">
      <c r="A26" s="129" t="s">
        <v>57</v>
      </c>
      <c r="B26" s="114">
        <v>3000000</v>
      </c>
      <c r="C26" s="79">
        <v>0</v>
      </c>
      <c r="D26" s="79">
        <f t="shared" ref="D26:M28" si="19">C26</f>
        <v>0</v>
      </c>
      <c r="E26" s="79">
        <f t="shared" si="19"/>
        <v>0</v>
      </c>
      <c r="F26" s="79">
        <f t="shared" si="19"/>
        <v>0</v>
      </c>
      <c r="G26" s="79">
        <f t="shared" si="19"/>
        <v>0</v>
      </c>
      <c r="H26" s="79">
        <f t="shared" si="19"/>
        <v>0</v>
      </c>
      <c r="I26" s="79">
        <f t="shared" si="19"/>
        <v>0</v>
      </c>
      <c r="J26" s="79">
        <f t="shared" si="19"/>
        <v>0</v>
      </c>
      <c r="K26" s="79">
        <f t="shared" si="19"/>
        <v>0</v>
      </c>
      <c r="L26" s="79">
        <f t="shared" si="19"/>
        <v>0</v>
      </c>
      <c r="M26" s="79">
        <f t="shared" si="19"/>
        <v>0</v>
      </c>
      <c r="N26" s="210"/>
      <c r="O26" s="74">
        <f t="shared" ref="O26:O28" si="20">SUM(B26:M26)</f>
        <v>3000000</v>
      </c>
      <c r="P26" s="68"/>
      <c r="Q26" s="68"/>
      <c r="R26" s="68"/>
      <c r="S26" s="68"/>
      <c r="T26" s="68"/>
      <c r="U26" s="103"/>
      <c r="V26" s="103"/>
      <c r="W26" s="103"/>
      <c r="X26" s="103"/>
      <c r="Y26" s="103"/>
      <c r="Z26" s="103"/>
    </row>
    <row r="27" spans="1:26" ht="17.25" customHeight="1" x14ac:dyDescent="0.2">
      <c r="A27" s="129" t="s">
        <v>58</v>
      </c>
      <c r="B27" s="114">
        <v>500000</v>
      </c>
      <c r="C27" s="79">
        <f t="shared" ref="C27:M27" si="21">7*C11</f>
        <v>490</v>
      </c>
      <c r="D27" s="79">
        <f t="shared" si="21"/>
        <v>612.5</v>
      </c>
      <c r="E27" s="79">
        <f t="shared" si="21"/>
        <v>765.625</v>
      </c>
      <c r="F27" s="79">
        <f t="shared" si="21"/>
        <v>957.03125</v>
      </c>
      <c r="G27" s="79">
        <f t="shared" si="21"/>
        <v>1196.2890625</v>
      </c>
      <c r="H27" s="79">
        <f t="shared" si="21"/>
        <v>1375.732421875</v>
      </c>
      <c r="I27" s="79">
        <f t="shared" si="21"/>
        <v>1582.09228515625</v>
      </c>
      <c r="J27" s="79">
        <f t="shared" si="21"/>
        <v>1740.301513671875</v>
      </c>
      <c r="K27" s="79">
        <f t="shared" si="21"/>
        <v>1914.3316650390625</v>
      </c>
      <c r="L27" s="79">
        <f t="shared" si="21"/>
        <v>2105.7648315429688</v>
      </c>
      <c r="M27" s="79">
        <f t="shared" si="21"/>
        <v>2316.3413146972657</v>
      </c>
      <c r="N27" s="210"/>
      <c r="O27" s="74">
        <f t="shared" si="20"/>
        <v>515056.00934448245</v>
      </c>
      <c r="P27" s="68"/>
      <c r="Q27" s="68"/>
      <c r="R27" s="68"/>
      <c r="S27" s="68"/>
      <c r="T27" s="68"/>
      <c r="U27" s="103"/>
      <c r="V27" s="103"/>
      <c r="W27" s="103"/>
      <c r="X27" s="103"/>
      <c r="Y27" s="103"/>
      <c r="Z27" s="103"/>
    </row>
    <row r="28" spans="1:26" ht="17.25" customHeight="1" x14ac:dyDescent="0.2">
      <c r="A28" s="129" t="s">
        <v>59</v>
      </c>
      <c r="B28" s="114">
        <v>100000</v>
      </c>
      <c r="C28" s="79">
        <v>0</v>
      </c>
      <c r="D28" s="79">
        <f t="shared" si="19"/>
        <v>0</v>
      </c>
      <c r="E28" s="79">
        <f t="shared" si="19"/>
        <v>0</v>
      </c>
      <c r="F28" s="79">
        <f t="shared" si="19"/>
        <v>0</v>
      </c>
      <c r="G28" s="79">
        <f t="shared" si="19"/>
        <v>0</v>
      </c>
      <c r="H28" s="79">
        <f t="shared" si="19"/>
        <v>0</v>
      </c>
      <c r="I28" s="79">
        <f t="shared" si="19"/>
        <v>0</v>
      </c>
      <c r="J28" s="79">
        <f t="shared" si="19"/>
        <v>0</v>
      </c>
      <c r="K28" s="79">
        <f t="shared" si="19"/>
        <v>0</v>
      </c>
      <c r="L28" s="79">
        <f t="shared" si="19"/>
        <v>0</v>
      </c>
      <c r="M28" s="79">
        <f t="shared" si="19"/>
        <v>0</v>
      </c>
      <c r="N28" s="210"/>
      <c r="O28" s="74">
        <f t="shared" si="20"/>
        <v>100000</v>
      </c>
      <c r="P28" s="68"/>
      <c r="Q28" s="68"/>
      <c r="R28" s="68"/>
      <c r="S28" s="68"/>
      <c r="T28" s="68"/>
      <c r="U28" s="103"/>
      <c r="V28" s="103"/>
      <c r="W28" s="103"/>
      <c r="X28" s="103"/>
      <c r="Y28" s="103"/>
      <c r="Z28" s="103"/>
    </row>
    <row r="29" spans="1:26" ht="17.25" customHeight="1" x14ac:dyDescent="0.2">
      <c r="A29" s="129" t="s">
        <v>60</v>
      </c>
      <c r="B29" s="114">
        <f t="shared" ref="B29:M29" si="22">700*B11</f>
        <v>42000</v>
      </c>
      <c r="C29" s="79">
        <f t="shared" si="22"/>
        <v>49000</v>
      </c>
      <c r="D29" s="79">
        <f t="shared" si="22"/>
        <v>61250</v>
      </c>
      <c r="E29" s="79">
        <f t="shared" si="22"/>
        <v>76562.5</v>
      </c>
      <c r="F29" s="79">
        <f t="shared" si="22"/>
        <v>95703.125</v>
      </c>
      <c r="G29" s="79">
        <f t="shared" si="22"/>
        <v>119628.90625</v>
      </c>
      <c r="H29" s="79">
        <f t="shared" si="22"/>
        <v>137573.2421875</v>
      </c>
      <c r="I29" s="79">
        <f t="shared" si="22"/>
        <v>158209.228515625</v>
      </c>
      <c r="J29" s="79">
        <f t="shared" si="22"/>
        <v>174030.1513671875</v>
      </c>
      <c r="K29" s="79">
        <f t="shared" si="22"/>
        <v>191433.16650390625</v>
      </c>
      <c r="L29" s="79">
        <f t="shared" si="22"/>
        <v>210576.48315429688</v>
      </c>
      <c r="M29" s="79">
        <f t="shared" si="22"/>
        <v>231634.13146972656</v>
      </c>
      <c r="N29" s="210"/>
      <c r="O29" s="74">
        <f t="shared" si="16"/>
        <v>1547600.9344482422</v>
      </c>
      <c r="P29" s="68"/>
      <c r="Q29" s="68"/>
      <c r="R29" s="68"/>
      <c r="S29" s="68"/>
      <c r="T29" s="68"/>
      <c r="U29" s="103"/>
      <c r="V29" s="103"/>
      <c r="W29" s="103"/>
      <c r="X29" s="103"/>
      <c r="Y29" s="103"/>
      <c r="Z29" s="103"/>
    </row>
    <row r="30" spans="1:26" ht="17.25" customHeight="1" x14ac:dyDescent="0.2">
      <c r="A30" s="129" t="s">
        <v>61</v>
      </c>
      <c r="B30" s="114">
        <f t="shared" ref="B30:M30" si="23">B7*6%</f>
        <v>96180</v>
      </c>
      <c r="C30" s="79">
        <f t="shared" si="23"/>
        <v>110280</v>
      </c>
      <c r="D30" s="79">
        <f t="shared" si="23"/>
        <v>137955</v>
      </c>
      <c r="E30" s="79">
        <f t="shared" si="23"/>
        <v>172548.75</v>
      </c>
      <c r="F30" s="79">
        <f t="shared" si="23"/>
        <v>215790.9375</v>
      </c>
      <c r="G30" s="79">
        <f t="shared" si="23"/>
        <v>269843.671875</v>
      </c>
      <c r="H30" s="79">
        <f t="shared" si="23"/>
        <v>310383.22265625</v>
      </c>
      <c r="I30" s="79">
        <f t="shared" si="23"/>
        <v>357003.7060546875</v>
      </c>
      <c r="J30" s="79">
        <f t="shared" si="23"/>
        <v>392746.07666015625</v>
      </c>
      <c r="K30" s="79">
        <f t="shared" si="23"/>
        <v>432062.68432617188</v>
      </c>
      <c r="L30" s="79">
        <f t="shared" si="23"/>
        <v>475310.95275878906</v>
      </c>
      <c r="M30" s="79">
        <f t="shared" si="23"/>
        <v>522884.04803466797</v>
      </c>
      <c r="N30" s="210"/>
      <c r="O30" s="79">
        <f t="shared" si="16"/>
        <v>3492989.0498657227</v>
      </c>
      <c r="P30" s="68"/>
      <c r="Q30" s="68"/>
      <c r="R30" s="68"/>
      <c r="S30" s="68"/>
      <c r="T30" s="68"/>
      <c r="U30" s="103"/>
      <c r="V30" s="103"/>
      <c r="W30" s="103"/>
      <c r="X30" s="103"/>
      <c r="Y30" s="103"/>
      <c r="Z30" s="103"/>
    </row>
    <row r="31" spans="1:26" ht="17.25" customHeight="1" x14ac:dyDescent="0.2">
      <c r="A31" s="129"/>
      <c r="B31" s="114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210"/>
      <c r="O31" s="74"/>
      <c r="P31" s="68"/>
      <c r="Q31" s="68"/>
      <c r="R31" s="68"/>
      <c r="S31" s="68"/>
      <c r="T31" s="68"/>
      <c r="U31" s="103"/>
      <c r="V31" s="103"/>
      <c r="W31" s="103"/>
      <c r="X31" s="103"/>
      <c r="Y31" s="103"/>
      <c r="Z31" s="103"/>
    </row>
    <row r="32" spans="1:26" ht="17.25" customHeight="1" x14ac:dyDescent="0.2">
      <c r="A32" s="131" t="s">
        <v>7</v>
      </c>
      <c r="B32" s="115">
        <f t="shared" ref="B32:M32" si="24">B7-B16</f>
        <v>-4058680</v>
      </c>
      <c r="C32" s="81">
        <f t="shared" si="24"/>
        <v>-47070</v>
      </c>
      <c r="D32" s="81">
        <f t="shared" si="24"/>
        <v>75732.5</v>
      </c>
      <c r="E32" s="81">
        <f t="shared" si="24"/>
        <v>229235.625</v>
      </c>
      <c r="F32" s="81">
        <f t="shared" si="24"/>
        <v>421114.53125</v>
      </c>
      <c r="G32" s="81">
        <f t="shared" si="24"/>
        <v>660963.1640625</v>
      </c>
      <c r="H32" s="81">
        <f t="shared" si="24"/>
        <v>840849.638671875</v>
      </c>
      <c r="I32" s="81">
        <f t="shared" si="24"/>
        <v>1047719.0844726563</v>
      </c>
      <c r="J32" s="82">
        <f t="shared" si="24"/>
        <v>1206318.9929199219</v>
      </c>
      <c r="K32" s="82">
        <f t="shared" si="24"/>
        <v>1380778.8922119141</v>
      </c>
      <c r="L32" s="82">
        <f t="shared" si="24"/>
        <v>1572684.7814331055</v>
      </c>
      <c r="M32" s="82">
        <f t="shared" si="24"/>
        <v>1783781.2595764156</v>
      </c>
      <c r="N32" s="210"/>
      <c r="O32" s="82">
        <f>SUM(B32:M32)</f>
        <v>5113428.4695983883</v>
      </c>
      <c r="P32" s="68"/>
      <c r="Q32" s="68"/>
      <c r="R32" s="68"/>
      <c r="S32" s="68"/>
      <c r="T32" s="68"/>
      <c r="U32" s="103"/>
      <c r="V32" s="103"/>
      <c r="W32" s="103"/>
      <c r="X32" s="103"/>
      <c r="Y32" s="103"/>
      <c r="Z32" s="103"/>
    </row>
    <row r="33" spans="1:26" ht="17.25" customHeight="1" x14ac:dyDescent="0.2">
      <c r="A33" s="129" t="s">
        <v>8</v>
      </c>
      <c r="B33" s="116">
        <f>B32/B7*100%</f>
        <v>-2.5319276356830942</v>
      </c>
      <c r="C33" s="83">
        <f t="shared" ref="C33:M33" si="25">C32/C7*100%</f>
        <v>-2.5609357997823722E-2</v>
      </c>
      <c r="D33" s="83">
        <f t="shared" si="25"/>
        <v>3.2937914537349136E-2</v>
      </c>
      <c r="E33" s="83">
        <f t="shared" si="25"/>
        <v>7.9711603242561879E-2</v>
      </c>
      <c r="F33" s="83">
        <f t="shared" si="25"/>
        <v>0.11708958757825499</v>
      </c>
      <c r="G33" s="83">
        <f t="shared" si="25"/>
        <v>0.14696579529988282</v>
      </c>
      <c r="H33" s="83">
        <f t="shared" si="25"/>
        <v>0.16254415392866467</v>
      </c>
      <c r="I33" s="83">
        <f t="shared" si="25"/>
        <v>0.17608541312657888</v>
      </c>
      <c r="J33" s="83">
        <f t="shared" si="25"/>
        <v>0.18428991115759785</v>
      </c>
      <c r="K33" s="83">
        <f t="shared" si="25"/>
        <v>0.19174702314762354</v>
      </c>
      <c r="L33" s="83">
        <f t="shared" si="25"/>
        <v>0.19852495790029209</v>
      </c>
      <c r="M33" s="83">
        <f t="shared" si="25"/>
        <v>0.204685677401826</v>
      </c>
      <c r="N33" s="210"/>
      <c r="O33" s="83">
        <f>O32/O7*100%</f>
        <v>8.7834718001104956E-2</v>
      </c>
      <c r="P33" s="68"/>
      <c r="Q33" s="68"/>
      <c r="R33" s="68"/>
      <c r="S33" s="68"/>
      <c r="T33" s="68"/>
      <c r="U33" s="103"/>
      <c r="V33" s="103"/>
      <c r="W33" s="103"/>
      <c r="X33" s="103"/>
      <c r="Y33" s="103"/>
      <c r="Z33" s="103"/>
    </row>
    <row r="34" spans="1:26" ht="17.25" customHeight="1" x14ac:dyDescent="0.2">
      <c r="A34" s="123"/>
      <c r="B34" s="117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210"/>
      <c r="O34" s="71"/>
      <c r="P34" s="68"/>
      <c r="Q34" s="68"/>
      <c r="R34" s="68"/>
      <c r="S34" s="68"/>
      <c r="T34" s="68"/>
      <c r="U34" s="103"/>
      <c r="V34" s="103"/>
      <c r="W34" s="103"/>
      <c r="X34" s="103"/>
      <c r="Y34" s="103"/>
      <c r="Z34" s="103"/>
    </row>
    <row r="35" spans="1:26" ht="17.25" customHeight="1" x14ac:dyDescent="0.2">
      <c r="A35" s="122" t="s">
        <v>9</v>
      </c>
      <c r="B35" s="118"/>
      <c r="C35" s="85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210"/>
      <c r="O35" s="86"/>
      <c r="P35" s="68"/>
      <c r="Q35" s="68"/>
      <c r="R35" s="68"/>
      <c r="S35" s="68"/>
      <c r="T35" s="68"/>
      <c r="U35" s="103"/>
      <c r="V35" s="103"/>
      <c r="W35" s="103"/>
      <c r="X35" s="103"/>
      <c r="Y35" s="103"/>
      <c r="Z35" s="103"/>
    </row>
    <row r="36" spans="1:26" ht="17.25" customHeight="1" x14ac:dyDescent="0.2">
      <c r="A36" s="129" t="s">
        <v>10</v>
      </c>
      <c r="B36" s="114">
        <v>0</v>
      </c>
      <c r="C36" s="74">
        <f t="shared" ref="C36:M36" si="26">B37</f>
        <v>1603000</v>
      </c>
      <c r="D36" s="74">
        <f t="shared" si="26"/>
        <v>1555930</v>
      </c>
      <c r="E36" s="74">
        <f t="shared" si="26"/>
        <v>1631662.5</v>
      </c>
      <c r="F36" s="87">
        <f t="shared" si="26"/>
        <v>1860898.125</v>
      </c>
      <c r="G36" s="74">
        <f t="shared" si="26"/>
        <v>2282012.65625</v>
      </c>
      <c r="H36" s="74">
        <f t="shared" si="26"/>
        <v>2942975.8203125</v>
      </c>
      <c r="I36" s="74">
        <f t="shared" si="26"/>
        <v>3783825.458984375</v>
      </c>
      <c r="J36" s="74">
        <f t="shared" si="26"/>
        <v>4831544.5434570313</v>
      </c>
      <c r="K36" s="74">
        <f t="shared" si="26"/>
        <v>6037863.5363769531</v>
      </c>
      <c r="L36" s="74">
        <f t="shared" si="26"/>
        <v>7418642.4285888672</v>
      </c>
      <c r="M36" s="74">
        <f t="shared" si="26"/>
        <v>8991327.2100219727</v>
      </c>
      <c r="N36" s="210"/>
      <c r="O36" s="79">
        <f>B36</f>
        <v>0</v>
      </c>
      <c r="P36" s="68"/>
      <c r="Q36" s="68"/>
      <c r="R36" s="68"/>
      <c r="S36" s="68"/>
      <c r="T36" s="68"/>
      <c r="U36" s="103"/>
      <c r="V36" s="103"/>
      <c r="W36" s="103"/>
      <c r="X36" s="103"/>
      <c r="Y36" s="103"/>
      <c r="Z36" s="103"/>
    </row>
    <row r="37" spans="1:26" ht="17.25" customHeight="1" x14ac:dyDescent="0.2">
      <c r="A37" s="129" t="s">
        <v>11</v>
      </c>
      <c r="B37" s="114">
        <f t="shared" ref="B37:M37" si="27">B36+B5+B32</f>
        <v>1603000</v>
      </c>
      <c r="C37" s="79">
        <f t="shared" si="27"/>
        <v>1555930</v>
      </c>
      <c r="D37" s="79">
        <f t="shared" si="27"/>
        <v>1631662.5</v>
      </c>
      <c r="E37" s="87">
        <f t="shared" si="27"/>
        <v>1860898.125</v>
      </c>
      <c r="F37" s="79">
        <f t="shared" si="27"/>
        <v>2282012.65625</v>
      </c>
      <c r="G37" s="79">
        <f t="shared" si="27"/>
        <v>2942975.8203125</v>
      </c>
      <c r="H37" s="79">
        <f t="shared" si="27"/>
        <v>3783825.458984375</v>
      </c>
      <c r="I37" s="79">
        <f t="shared" si="27"/>
        <v>4831544.5434570313</v>
      </c>
      <c r="J37" s="79">
        <f t="shared" si="27"/>
        <v>6037863.5363769531</v>
      </c>
      <c r="K37" s="79">
        <f t="shared" si="27"/>
        <v>7418642.4285888672</v>
      </c>
      <c r="L37" s="79">
        <f t="shared" si="27"/>
        <v>8991327.2100219727</v>
      </c>
      <c r="M37" s="79">
        <f t="shared" si="27"/>
        <v>10775108.469598388</v>
      </c>
      <c r="N37" s="210"/>
      <c r="O37" s="79">
        <f>M37</f>
        <v>10775108.469598388</v>
      </c>
      <c r="P37" s="68"/>
      <c r="Q37" s="68"/>
      <c r="R37" s="68"/>
      <c r="S37" s="68"/>
      <c r="T37" s="68"/>
      <c r="U37" s="103"/>
      <c r="V37" s="103"/>
      <c r="W37" s="103"/>
      <c r="X37" s="103"/>
      <c r="Y37" s="103"/>
      <c r="Z37" s="103"/>
    </row>
    <row r="38" spans="1:26" ht="13.5" customHeight="1" x14ac:dyDescent="0.2">
      <c r="A38" s="215"/>
      <c r="B38" s="217"/>
      <c r="C38" s="210"/>
      <c r="D38" s="210"/>
      <c r="E38" s="210"/>
      <c r="F38" s="210"/>
      <c r="G38" s="210"/>
      <c r="H38" s="210"/>
      <c r="I38" s="210"/>
      <c r="J38" s="210"/>
      <c r="K38" s="210"/>
      <c r="L38" s="210"/>
      <c r="M38" s="210"/>
      <c r="N38" s="210"/>
      <c r="O38" s="210"/>
      <c r="P38" s="68"/>
      <c r="Q38" s="68"/>
      <c r="R38" s="68"/>
      <c r="S38" s="68"/>
      <c r="T38" s="68"/>
    </row>
    <row r="39" spans="1:26" ht="13.5" customHeight="1" x14ac:dyDescent="0.2">
      <c r="A39" s="216"/>
      <c r="B39" s="210"/>
      <c r="C39" s="210"/>
      <c r="D39" s="210"/>
      <c r="E39" s="210"/>
      <c r="F39" s="210"/>
      <c r="G39" s="210"/>
      <c r="H39" s="210"/>
      <c r="I39" s="210"/>
      <c r="J39" s="210"/>
      <c r="K39" s="210"/>
      <c r="L39" s="210"/>
      <c r="M39" s="210"/>
      <c r="N39" s="210"/>
      <c r="O39" s="210"/>
      <c r="P39" s="68"/>
      <c r="Q39" s="68"/>
      <c r="R39" s="68"/>
      <c r="S39" s="68"/>
      <c r="T39" s="68"/>
    </row>
    <row r="40" spans="1:26" ht="42.75" customHeight="1" x14ac:dyDescent="0.25">
      <c r="A40" s="216"/>
      <c r="B40" s="218" t="s">
        <v>62</v>
      </c>
      <c r="C40" s="219"/>
      <c r="D40" s="219"/>
      <c r="E40" s="219"/>
      <c r="F40" s="219"/>
      <c r="G40" s="219"/>
      <c r="H40" s="220"/>
      <c r="I40" s="222" t="s">
        <v>63</v>
      </c>
      <c r="J40" s="223"/>
      <c r="K40" s="223"/>
      <c r="L40" s="223"/>
      <c r="M40" s="223"/>
      <c r="N40" s="223"/>
      <c r="O40" s="223"/>
      <c r="P40" s="68"/>
      <c r="Q40" s="68"/>
      <c r="R40" s="68"/>
      <c r="S40" s="68"/>
      <c r="T40" s="68"/>
    </row>
    <row r="41" spans="1:26" ht="41.25" customHeight="1" x14ac:dyDescent="0.2">
      <c r="A41" s="216"/>
      <c r="B41" s="221"/>
      <c r="C41" s="219"/>
      <c r="D41" s="219"/>
      <c r="E41" s="219"/>
      <c r="F41" s="219"/>
      <c r="G41" s="219"/>
      <c r="H41" s="220"/>
      <c r="I41" s="224" t="s">
        <v>64</v>
      </c>
      <c r="J41" s="225"/>
      <c r="K41" s="225"/>
      <c r="L41" s="225"/>
      <c r="M41" s="225"/>
      <c r="N41" s="225"/>
      <c r="O41" s="225"/>
      <c r="P41" s="68"/>
      <c r="Q41" s="68"/>
      <c r="R41" s="68"/>
      <c r="S41" s="68"/>
      <c r="T41" s="68"/>
    </row>
    <row r="42" spans="1:26" ht="27.75" customHeight="1" x14ac:dyDescent="0.2">
      <c r="A42" s="216"/>
      <c r="B42" s="221"/>
      <c r="C42" s="219"/>
      <c r="D42" s="219"/>
      <c r="E42" s="219"/>
      <c r="F42" s="219"/>
      <c r="G42" s="219"/>
      <c r="H42" s="220"/>
      <c r="I42" s="195" t="s">
        <v>65</v>
      </c>
      <c r="J42" s="196"/>
      <c r="K42" s="196"/>
      <c r="L42" s="196"/>
      <c r="M42" s="196"/>
      <c r="N42" s="196"/>
      <c r="O42" s="196"/>
      <c r="P42" s="68"/>
      <c r="Q42" s="68"/>
      <c r="R42" s="68"/>
      <c r="S42" s="68"/>
      <c r="T42" s="68"/>
    </row>
    <row r="43" spans="1:26" ht="23.25" customHeight="1" x14ac:dyDescent="0.2">
      <c r="A43" s="216"/>
      <c r="B43" s="221"/>
      <c r="C43" s="219"/>
      <c r="D43" s="219"/>
      <c r="E43" s="219"/>
      <c r="F43" s="219"/>
      <c r="G43" s="219"/>
      <c r="H43" s="220"/>
      <c r="I43" s="195"/>
      <c r="J43" s="196"/>
      <c r="K43" s="196"/>
      <c r="L43" s="196"/>
      <c r="M43" s="196"/>
      <c r="N43" s="196"/>
      <c r="O43" s="196"/>
      <c r="P43" s="68"/>
      <c r="Q43" s="68"/>
      <c r="R43" s="68"/>
      <c r="S43" s="68"/>
      <c r="T43" s="68"/>
    </row>
    <row r="44" spans="1:26" ht="21" customHeight="1" x14ac:dyDescent="0.2">
      <c r="A44" s="216"/>
      <c r="B44" s="197" t="s">
        <v>66</v>
      </c>
      <c r="C44" s="198"/>
      <c r="D44" s="198"/>
      <c r="E44" s="198"/>
      <c r="F44" s="198"/>
      <c r="G44" s="198"/>
      <c r="H44" s="199"/>
      <c r="I44" s="195"/>
      <c r="J44" s="196"/>
      <c r="K44" s="196"/>
      <c r="L44" s="196"/>
      <c r="M44" s="196"/>
      <c r="N44" s="196"/>
      <c r="O44" s="196"/>
      <c r="P44" s="68"/>
      <c r="Q44" s="68"/>
      <c r="R44" s="68"/>
      <c r="S44" s="68"/>
      <c r="T44" s="68"/>
    </row>
    <row r="45" spans="1:26" ht="21.75" customHeight="1" x14ac:dyDescent="0.2">
      <c r="A45" s="216"/>
      <c r="B45" s="200"/>
      <c r="C45" s="198"/>
      <c r="D45" s="198"/>
      <c r="E45" s="198"/>
      <c r="F45" s="198"/>
      <c r="G45" s="198"/>
      <c r="H45" s="199"/>
      <c r="I45" s="195"/>
      <c r="J45" s="196"/>
      <c r="K45" s="196"/>
      <c r="L45" s="196"/>
      <c r="M45" s="196"/>
      <c r="N45" s="196"/>
      <c r="O45" s="196"/>
      <c r="P45" s="68"/>
      <c r="Q45" s="68"/>
      <c r="R45" s="68"/>
      <c r="S45" s="68"/>
      <c r="T45" s="68"/>
    </row>
    <row r="46" spans="1:26" ht="23.25" customHeight="1" x14ac:dyDescent="0.2">
      <c r="A46" s="216"/>
      <c r="B46" s="200"/>
      <c r="C46" s="198"/>
      <c r="D46" s="198"/>
      <c r="E46" s="198"/>
      <c r="F46" s="198"/>
      <c r="G46" s="198"/>
      <c r="H46" s="199"/>
      <c r="I46" s="195"/>
      <c r="J46" s="196"/>
      <c r="K46" s="196"/>
      <c r="L46" s="196"/>
      <c r="M46" s="196"/>
      <c r="N46" s="196"/>
      <c r="O46" s="196"/>
      <c r="P46" s="68"/>
      <c r="Q46" s="68"/>
      <c r="R46" s="68"/>
      <c r="S46" s="68"/>
      <c r="T46" s="68"/>
    </row>
    <row r="47" spans="1:26" ht="20.25" customHeight="1" x14ac:dyDescent="0.2">
      <c r="A47" s="216"/>
      <c r="B47" s="200"/>
      <c r="C47" s="198"/>
      <c r="D47" s="198"/>
      <c r="E47" s="198"/>
      <c r="F47" s="198"/>
      <c r="G47" s="198"/>
      <c r="H47" s="199"/>
      <c r="I47" s="195"/>
      <c r="J47" s="196"/>
      <c r="K47" s="196"/>
      <c r="L47" s="196"/>
      <c r="M47" s="196"/>
      <c r="N47" s="196"/>
      <c r="O47" s="196"/>
      <c r="P47" s="68"/>
      <c r="Q47" s="68"/>
      <c r="R47" s="68"/>
      <c r="S47" s="68"/>
      <c r="T47" s="68"/>
    </row>
    <row r="48" spans="1:26" ht="22.5" customHeight="1" x14ac:dyDescent="0.2">
      <c r="A48" s="216"/>
      <c r="B48" s="201"/>
      <c r="C48" s="202"/>
      <c r="D48" s="202"/>
      <c r="E48" s="202"/>
      <c r="F48" s="202"/>
      <c r="G48" s="202"/>
      <c r="H48" s="203"/>
      <c r="I48" s="195"/>
      <c r="J48" s="196"/>
      <c r="K48" s="196"/>
      <c r="L48" s="196"/>
      <c r="M48" s="196"/>
      <c r="N48" s="196"/>
      <c r="O48" s="196"/>
      <c r="P48" s="68"/>
      <c r="Q48" s="68"/>
      <c r="R48" s="68"/>
      <c r="S48" s="68"/>
      <c r="T48" s="68"/>
    </row>
    <row r="49" spans="1:20" ht="19.5" customHeight="1" x14ac:dyDescent="0.2">
      <c r="A49" s="216"/>
      <c r="B49" s="204"/>
      <c r="C49" s="202"/>
      <c r="D49" s="202"/>
      <c r="E49" s="202"/>
      <c r="F49" s="202"/>
      <c r="G49" s="202"/>
      <c r="H49" s="203"/>
      <c r="I49" s="195"/>
      <c r="J49" s="196"/>
      <c r="K49" s="196"/>
      <c r="L49" s="196"/>
      <c r="M49" s="196"/>
      <c r="N49" s="196"/>
      <c r="O49" s="196"/>
      <c r="P49" s="68"/>
      <c r="Q49" s="68"/>
      <c r="R49" s="68"/>
      <c r="S49" s="68"/>
      <c r="T49" s="68"/>
    </row>
    <row r="50" spans="1:20" ht="27" customHeight="1" x14ac:dyDescent="0.2">
      <c r="A50" s="216"/>
      <c r="B50" s="205"/>
      <c r="C50" s="202"/>
      <c r="D50" s="202"/>
      <c r="E50" s="202"/>
      <c r="F50" s="202"/>
      <c r="G50" s="202"/>
      <c r="H50" s="203"/>
      <c r="I50" s="195"/>
      <c r="J50" s="196"/>
      <c r="K50" s="196"/>
      <c r="L50" s="196"/>
      <c r="M50" s="196"/>
      <c r="N50" s="196"/>
      <c r="O50" s="196"/>
      <c r="P50" s="68"/>
      <c r="Q50" s="68"/>
      <c r="R50" s="68"/>
      <c r="S50" s="68"/>
      <c r="T50" s="68"/>
    </row>
    <row r="51" spans="1:20" ht="44.25" customHeight="1" x14ac:dyDescent="0.2">
      <c r="A51" s="216"/>
      <c r="B51" s="205"/>
      <c r="C51" s="202"/>
      <c r="D51" s="202"/>
      <c r="E51" s="202"/>
      <c r="F51" s="202"/>
      <c r="G51" s="202"/>
      <c r="H51" s="203"/>
      <c r="I51" s="133"/>
      <c r="J51" s="89"/>
      <c r="K51" s="89"/>
      <c r="L51" s="89"/>
      <c r="M51" s="89"/>
      <c r="N51" s="89"/>
      <c r="O51" s="88"/>
      <c r="P51" s="68"/>
      <c r="Q51" s="68"/>
      <c r="R51" s="68"/>
      <c r="S51" s="68"/>
      <c r="T51" s="68"/>
    </row>
    <row r="52" spans="1:20" ht="6" customHeight="1" x14ac:dyDescent="0.2">
      <c r="A52" s="216"/>
      <c r="B52" s="205"/>
      <c r="C52" s="202"/>
      <c r="D52" s="202"/>
      <c r="E52" s="202"/>
      <c r="F52" s="202"/>
      <c r="G52" s="202"/>
      <c r="H52" s="203"/>
      <c r="I52" s="133"/>
      <c r="J52" s="206"/>
      <c r="K52" s="202"/>
      <c r="L52" s="202"/>
      <c r="M52" s="202"/>
      <c r="N52" s="202"/>
      <c r="O52" s="88"/>
      <c r="P52" s="68"/>
      <c r="Q52" s="68"/>
      <c r="R52" s="68"/>
      <c r="S52" s="68"/>
      <c r="T52" s="68"/>
    </row>
    <row r="53" spans="1:20" ht="13.5" customHeight="1" x14ac:dyDescent="0.25">
      <c r="A53" s="132"/>
      <c r="B53" s="119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68"/>
      <c r="Q53" s="68"/>
      <c r="R53" s="68"/>
      <c r="S53" s="68"/>
      <c r="T53" s="68"/>
    </row>
    <row r="54" spans="1:20" ht="13.5" customHeight="1" x14ac:dyDescent="0.25">
      <c r="A54" s="132"/>
      <c r="B54" s="119"/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68"/>
      <c r="Q54" s="68"/>
      <c r="R54" s="68"/>
      <c r="S54" s="68"/>
      <c r="T54" s="68"/>
    </row>
    <row r="55" spans="1:20" ht="13.5" customHeight="1" x14ac:dyDescent="0.25">
      <c r="A55" s="132"/>
      <c r="B55" s="119"/>
      <c r="C55" s="90"/>
      <c r="D55" s="90"/>
      <c r="E55" s="90"/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68"/>
      <c r="Q55" s="68"/>
      <c r="R55" s="68"/>
      <c r="S55" s="68"/>
      <c r="T55" s="68"/>
    </row>
    <row r="56" spans="1:20" ht="13.5" customHeight="1" x14ac:dyDescent="0.25">
      <c r="A56" s="132"/>
      <c r="B56" s="119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68"/>
      <c r="Q56" s="68"/>
      <c r="R56" s="68"/>
      <c r="S56" s="68"/>
      <c r="T56" s="68"/>
    </row>
    <row r="57" spans="1:20" ht="13.5" customHeight="1" x14ac:dyDescent="0.25">
      <c r="A57" s="132"/>
      <c r="B57" s="119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68"/>
      <c r="Q57" s="68"/>
      <c r="R57" s="68"/>
      <c r="S57" s="68"/>
      <c r="T57" s="68"/>
    </row>
    <row r="58" spans="1:20" ht="14.25" customHeight="1" x14ac:dyDescent="0.25">
      <c r="A58" s="132"/>
      <c r="B58" s="119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68"/>
      <c r="Q58" s="68"/>
      <c r="R58" s="68"/>
      <c r="S58" s="68"/>
      <c r="T58" s="68"/>
    </row>
    <row r="59" spans="1:20" ht="13.5" customHeight="1" x14ac:dyDescent="0.25">
      <c r="A59" s="132"/>
      <c r="B59" s="119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68"/>
      <c r="Q59" s="68"/>
      <c r="R59" s="68"/>
      <c r="S59" s="68"/>
      <c r="T59" s="68"/>
    </row>
    <row r="60" spans="1:20" ht="13.5" customHeight="1" x14ac:dyDescent="0.25">
      <c r="A60" s="132"/>
      <c r="B60" s="119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68"/>
      <c r="Q60" s="68"/>
      <c r="R60" s="68"/>
      <c r="S60" s="68"/>
      <c r="T60" s="68"/>
    </row>
    <row r="61" spans="1:20" ht="15.75" customHeight="1" x14ac:dyDescent="0.25">
      <c r="A61" s="132"/>
      <c r="B61" s="119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68"/>
      <c r="Q61" s="68"/>
      <c r="R61" s="68"/>
      <c r="S61" s="68"/>
      <c r="T61" s="68"/>
    </row>
    <row r="62" spans="1:20" ht="15.75" customHeight="1" x14ac:dyDescent="0.25">
      <c r="A62" s="132"/>
      <c r="B62" s="119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68"/>
      <c r="Q62" s="68"/>
      <c r="R62" s="68"/>
      <c r="S62" s="68"/>
      <c r="T62" s="68"/>
    </row>
    <row r="63" spans="1:20" ht="15.75" customHeight="1" x14ac:dyDescent="0.25">
      <c r="A63" s="132"/>
      <c r="B63" s="119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68"/>
      <c r="Q63" s="68"/>
      <c r="R63" s="68"/>
      <c r="S63" s="68"/>
      <c r="T63" s="68"/>
    </row>
    <row r="64" spans="1:20" ht="15.75" customHeight="1" x14ac:dyDescent="0.25">
      <c r="A64" s="132"/>
      <c r="B64" s="119"/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68"/>
      <c r="Q64" s="68"/>
      <c r="R64" s="68"/>
      <c r="S64" s="68"/>
      <c r="T64" s="68"/>
    </row>
    <row r="65" spans="1:20" ht="15.75" customHeight="1" x14ac:dyDescent="0.25">
      <c r="A65" s="132"/>
      <c r="B65" s="119"/>
      <c r="C65" s="90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68"/>
      <c r="Q65" s="68"/>
      <c r="R65" s="68"/>
      <c r="S65" s="68"/>
      <c r="T65" s="68"/>
    </row>
    <row r="66" spans="1:20" ht="15.75" customHeight="1" x14ac:dyDescent="0.25">
      <c r="A66" s="132"/>
      <c r="B66" s="119"/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68"/>
      <c r="Q66" s="68"/>
      <c r="R66" s="68"/>
      <c r="S66" s="68"/>
      <c r="T66" s="68"/>
    </row>
    <row r="67" spans="1:20" ht="15.75" customHeight="1" x14ac:dyDescent="0.2"/>
    <row r="68" spans="1:20" ht="15.75" customHeight="1" x14ac:dyDescent="0.2"/>
    <row r="69" spans="1:20" ht="15.75" customHeight="1" x14ac:dyDescent="0.2"/>
    <row r="70" spans="1:20" ht="15.75" customHeight="1" x14ac:dyDescent="0.2"/>
    <row r="71" spans="1:20" ht="15.75" customHeight="1" x14ac:dyDescent="0.2"/>
    <row r="72" spans="1:20" ht="15.75" customHeight="1" x14ac:dyDescent="0.2"/>
    <row r="73" spans="1:20" ht="15.75" customHeight="1" x14ac:dyDescent="0.2"/>
    <row r="74" spans="1:20" ht="15.75" customHeight="1" x14ac:dyDescent="0.2"/>
    <row r="75" spans="1:20" ht="15.75" customHeight="1" x14ac:dyDescent="0.2"/>
    <row r="76" spans="1:20" ht="15.75" customHeight="1" x14ac:dyDescent="0.2"/>
    <row r="77" spans="1:20" ht="15.75" customHeight="1" x14ac:dyDescent="0.2"/>
    <row r="78" spans="1:20" ht="15.75" customHeight="1" x14ac:dyDescent="0.2"/>
    <row r="79" spans="1:20" ht="15.75" customHeight="1" x14ac:dyDescent="0.2"/>
    <row r="80" spans="1:2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</sheetData>
  <mergeCells count="17">
    <mergeCell ref="A38:A52"/>
    <mergeCell ref="B38:O39"/>
    <mergeCell ref="B40:H43"/>
    <mergeCell ref="I40:O40"/>
    <mergeCell ref="I41:O41"/>
    <mergeCell ref="B52:H52"/>
    <mergeCell ref="J52:N52"/>
    <mergeCell ref="N1:O1"/>
    <mergeCell ref="B2:O2"/>
    <mergeCell ref="B4:M4"/>
    <mergeCell ref="N4:N37"/>
    <mergeCell ref="B6:M6"/>
    <mergeCell ref="I42:O50"/>
    <mergeCell ref="B44:H47"/>
    <mergeCell ref="B48:H49"/>
    <mergeCell ref="B50:H50"/>
    <mergeCell ref="B51:H51"/>
  </mergeCells>
  <conditionalFormatting sqref="B36:B38 C37:D38 F37:M38 E38">
    <cfRule type="cellIs" dxfId="3" priority="1" operator="lessThan">
      <formula>0</formula>
    </cfRule>
  </conditionalFormatting>
  <conditionalFormatting sqref="C36:E36 G36:M36">
    <cfRule type="cellIs" dxfId="2" priority="2" operator="lessThan">
      <formula>0</formula>
    </cfRule>
  </conditionalFormatting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CF598-6D1D-48A2-A44E-D5DBAE5DB7CB}">
  <dimension ref="A1:Z989"/>
  <sheetViews>
    <sheetView showGridLines="0" tabSelected="1"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O17" sqref="O17"/>
    </sheetView>
  </sheetViews>
  <sheetFormatPr defaultColWidth="14.42578125" defaultRowHeight="15" customHeight="1" x14ac:dyDescent="0.2"/>
  <cols>
    <col min="1" max="1" width="35.85546875" style="60" customWidth="1"/>
    <col min="2" max="2" width="15.28515625" style="60" customWidth="1"/>
    <col min="3" max="13" width="13.7109375" style="60" customWidth="1"/>
    <col min="14" max="14" width="2.28515625" style="60" customWidth="1"/>
    <col min="15" max="15" width="13.7109375" style="60" customWidth="1"/>
    <col min="16" max="17" width="14.42578125" style="60" customWidth="1"/>
    <col min="18" max="16384" width="14.42578125" style="60"/>
  </cols>
  <sheetData>
    <row r="1" spans="1:26" ht="30.75" customHeight="1" x14ac:dyDescent="0.2">
      <c r="A1" s="1"/>
      <c r="B1" s="59" t="s">
        <v>75</v>
      </c>
      <c r="C1" s="2"/>
      <c r="D1" s="3"/>
      <c r="E1" s="3"/>
      <c r="F1" s="3"/>
      <c r="G1" s="3"/>
      <c r="H1" s="4"/>
      <c r="I1" s="4"/>
      <c r="J1" s="5"/>
      <c r="M1" s="6"/>
      <c r="N1" s="141"/>
      <c r="O1" s="142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.5" customHeight="1" x14ac:dyDescent="0.2">
      <c r="B2" s="143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8.75" customHeight="1" x14ac:dyDescent="0.2">
      <c r="A3" s="9" t="s">
        <v>0</v>
      </c>
      <c r="B3" s="10">
        <v>45078</v>
      </c>
      <c r="C3" s="10">
        <f t="shared" ref="C3:M3" si="0">EDATE(B3,1)</f>
        <v>45108</v>
      </c>
      <c r="D3" s="10">
        <f t="shared" si="0"/>
        <v>45139</v>
      </c>
      <c r="E3" s="10">
        <f t="shared" si="0"/>
        <v>45170</v>
      </c>
      <c r="F3" s="10">
        <f t="shared" si="0"/>
        <v>45200</v>
      </c>
      <c r="G3" s="10">
        <f t="shared" si="0"/>
        <v>45231</v>
      </c>
      <c r="H3" s="10">
        <f t="shared" si="0"/>
        <v>45261</v>
      </c>
      <c r="I3" s="10">
        <f t="shared" si="0"/>
        <v>45292</v>
      </c>
      <c r="J3" s="10">
        <f t="shared" si="0"/>
        <v>45323</v>
      </c>
      <c r="K3" s="10">
        <f t="shared" si="0"/>
        <v>45352</v>
      </c>
      <c r="L3" s="10">
        <f t="shared" si="0"/>
        <v>45383</v>
      </c>
      <c r="M3" s="10">
        <f t="shared" si="0"/>
        <v>45413</v>
      </c>
      <c r="N3" s="11"/>
      <c r="O3" s="12" t="s">
        <v>1</v>
      </c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9.75" customHeight="1" x14ac:dyDescent="0.2">
      <c r="A4" s="61"/>
      <c r="B4" s="144"/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4"/>
      <c r="O4" s="61"/>
      <c r="P4" s="14"/>
      <c r="Q4" s="14"/>
      <c r="R4" s="14"/>
      <c r="S4" s="14"/>
      <c r="T4" s="14"/>
      <c r="U4" s="8"/>
      <c r="V4" s="8"/>
      <c r="W4" s="8"/>
      <c r="X4" s="8"/>
      <c r="Y4" s="8"/>
      <c r="Z4" s="8"/>
    </row>
    <row r="5" spans="1:26" ht="17.25" customHeight="1" x14ac:dyDescent="0.2">
      <c r="A5" s="15" t="s">
        <v>12</v>
      </c>
      <c r="B5" s="16">
        <f>'1 розничный магазин'!B5*2+Маркетплейс!B5</f>
        <v>9360680</v>
      </c>
      <c r="C5" s="18">
        <f>'1 розничный магазин'!B5*2</f>
        <v>3699000</v>
      </c>
      <c r="D5" s="18">
        <f>'1 розничный магазин'!B5*2</f>
        <v>3699000</v>
      </c>
      <c r="E5" s="18">
        <f>'1 розничный магазин'!B5*2</f>
        <v>3699000</v>
      </c>
      <c r="F5" s="18">
        <f>'1 розничный магазин'!B5*2</f>
        <v>3699000</v>
      </c>
      <c r="G5" s="18"/>
      <c r="H5" s="18"/>
      <c r="I5" s="18"/>
      <c r="J5" s="18"/>
      <c r="K5" s="18"/>
      <c r="L5" s="18"/>
      <c r="M5" s="18"/>
      <c r="N5" s="142"/>
      <c r="O5" s="19">
        <f>SUM(B5:M5)</f>
        <v>24156680</v>
      </c>
      <c r="P5" s="14"/>
      <c r="Q5" s="14"/>
      <c r="R5" s="14"/>
      <c r="S5" s="14"/>
      <c r="T5" s="14"/>
      <c r="U5" s="20"/>
      <c r="V5" s="20"/>
      <c r="W5" s="20"/>
      <c r="X5" s="20"/>
      <c r="Y5" s="20"/>
      <c r="Z5" s="20"/>
    </row>
    <row r="6" spans="1:26" ht="17.25" customHeight="1" x14ac:dyDescent="0.2">
      <c r="A6" s="15"/>
      <c r="B6" s="16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42"/>
      <c r="O6" s="19"/>
      <c r="P6" s="14"/>
      <c r="Q6" s="14"/>
      <c r="R6" s="14"/>
      <c r="S6" s="14"/>
      <c r="T6" s="14"/>
      <c r="U6" s="20"/>
      <c r="V6" s="20"/>
      <c r="W6" s="20"/>
      <c r="X6" s="20"/>
      <c r="Y6" s="20"/>
      <c r="Z6" s="20"/>
    </row>
    <row r="7" spans="1:26" ht="17.25" customHeight="1" x14ac:dyDescent="0.2">
      <c r="A7" s="22" t="s">
        <v>3</v>
      </c>
      <c r="B7" s="23">
        <f>SUM(B9:B10)</f>
        <v>3203000</v>
      </c>
      <c r="C7" s="23">
        <f t="shared" ref="C7:M7" si="1">SUM(C9:C10)</f>
        <v>4078000</v>
      </c>
      <c r="D7" s="23">
        <f t="shared" si="1"/>
        <v>6715250</v>
      </c>
      <c r="E7" s="23">
        <f t="shared" si="1"/>
        <v>9122212.5</v>
      </c>
      <c r="F7" s="23">
        <f t="shared" si="1"/>
        <v>12011235.625</v>
      </c>
      <c r="G7" s="23">
        <f t="shared" si="1"/>
        <v>13867634.531250002</v>
      </c>
      <c r="H7" s="23">
        <f t="shared" si="1"/>
        <v>15480317.7109375</v>
      </c>
      <c r="I7" s="23">
        <f t="shared" si="1"/>
        <v>16772688.967578124</v>
      </c>
      <c r="J7" s="23">
        <f t="shared" si="1"/>
        <v>17476621.41633594</v>
      </c>
      <c r="K7" s="23">
        <f t="shared" si="1"/>
        <v>18131898.210769534</v>
      </c>
      <c r="L7" s="23">
        <f t="shared" si="1"/>
        <v>18852702.684646487</v>
      </c>
      <c r="M7" s="23">
        <f t="shared" si="1"/>
        <v>19645587.605911136</v>
      </c>
      <c r="N7" s="142"/>
      <c r="O7" s="23">
        <f t="shared" ref="O7:O10" si="2">SUM(B7:M7)</f>
        <v>155357149.25242871</v>
      </c>
      <c r="P7" s="14"/>
      <c r="Q7" s="14"/>
      <c r="R7" s="14"/>
      <c r="S7" s="14"/>
      <c r="T7" s="14"/>
      <c r="U7" s="20"/>
      <c r="V7" s="20"/>
      <c r="W7" s="20"/>
      <c r="X7" s="20"/>
      <c r="Y7" s="20"/>
      <c r="Z7" s="20"/>
    </row>
    <row r="8" spans="1:26" ht="17.25" customHeight="1" x14ac:dyDescent="0.2">
      <c r="A8" s="135" t="s">
        <v>73</v>
      </c>
      <c r="B8" s="136" t="s">
        <v>68</v>
      </c>
      <c r="C8" s="136" t="s">
        <v>69</v>
      </c>
      <c r="D8" s="136" t="s">
        <v>70</v>
      </c>
      <c r="E8" s="136" t="s">
        <v>71</v>
      </c>
      <c r="F8" s="136" t="s">
        <v>72</v>
      </c>
      <c r="G8" s="136" t="s">
        <v>72</v>
      </c>
      <c r="H8" s="136" t="s">
        <v>72</v>
      </c>
      <c r="I8" s="136" t="s">
        <v>72</v>
      </c>
      <c r="J8" s="136" t="s">
        <v>72</v>
      </c>
      <c r="K8" s="136" t="s">
        <v>72</v>
      </c>
      <c r="L8" s="136" t="s">
        <v>72</v>
      </c>
      <c r="M8" s="136" t="s">
        <v>72</v>
      </c>
      <c r="N8" s="142"/>
      <c r="O8" s="134"/>
      <c r="P8" s="14"/>
      <c r="Q8" s="14"/>
      <c r="R8" s="14"/>
      <c r="S8" s="14"/>
      <c r="T8" s="14"/>
      <c r="U8" s="20"/>
      <c r="V8" s="20"/>
      <c r="W8" s="20"/>
      <c r="X8" s="20"/>
      <c r="Y8" s="20"/>
      <c r="Z8" s="20"/>
    </row>
    <row r="9" spans="1:26" ht="17.25" customHeight="1" x14ac:dyDescent="0.2">
      <c r="A9" s="55" t="s">
        <v>74</v>
      </c>
      <c r="B9" s="26">
        <f>'1 розничный магазин'!B7*2</f>
        <v>1600000</v>
      </c>
      <c r="C9" s="26">
        <f>'1 розничный магазин'!B7*2+'1 розничный магазин'!C7</f>
        <v>2240000</v>
      </c>
      <c r="D9" s="26">
        <f>'1 розничный магазин'!B7*2+'1 розничный магазин'!D7*4</f>
        <v>4416000</v>
      </c>
      <c r="E9" s="26">
        <f>'1 розничный магазин'!B7*2+'1 розничный магазин'!E7*6</f>
        <v>6246400.0000000009</v>
      </c>
      <c r="F9" s="26">
        <f>'1 розничный магазин'!B7*2+'1 розничный магазин'!F7*8</f>
        <v>8414720</v>
      </c>
      <c r="G9" s="26">
        <f>'1 розничный магазин'!G7*10</f>
        <v>9370240.0000000019</v>
      </c>
      <c r="H9" s="26">
        <f>'1 розничный магазин'!H7*10</f>
        <v>10307264</v>
      </c>
      <c r="I9" s="26">
        <f>'1 розничный магазин'!I7*10</f>
        <v>10822627.199999999</v>
      </c>
      <c r="J9" s="26">
        <f>'1 розничный магазин'!J7*10</f>
        <v>10930853.472000003</v>
      </c>
      <c r="K9" s="26">
        <f>'1 розничный магазин'!K7*10</f>
        <v>10930853.472000003</v>
      </c>
      <c r="L9" s="26">
        <f>'1 розничный магазин'!L7*10</f>
        <v>10930853.472000003</v>
      </c>
      <c r="M9" s="26">
        <f>'1 розничный магазин'!M7*10</f>
        <v>10930853.472000003</v>
      </c>
      <c r="N9" s="142"/>
      <c r="O9" s="27">
        <f t="shared" si="2"/>
        <v>97140665.088000014</v>
      </c>
      <c r="P9" s="14"/>
      <c r="Q9" s="14"/>
      <c r="R9" s="14"/>
      <c r="S9" s="14"/>
      <c r="T9" s="14"/>
      <c r="U9" s="20"/>
      <c r="V9" s="20"/>
      <c r="W9" s="20"/>
      <c r="X9" s="20"/>
      <c r="Y9" s="20"/>
      <c r="Z9" s="20"/>
    </row>
    <row r="10" spans="1:26" ht="17.25" customHeight="1" x14ac:dyDescent="0.2">
      <c r="A10" s="58" t="s">
        <v>67</v>
      </c>
      <c r="B10" s="26">
        <f>Маркетплейс!B7</f>
        <v>1603000</v>
      </c>
      <c r="C10" s="26">
        <f>Маркетплейс!C7</f>
        <v>1838000</v>
      </c>
      <c r="D10" s="26">
        <f>Маркетплейс!D7</f>
        <v>2299250</v>
      </c>
      <c r="E10" s="26">
        <f>Маркетплейс!E7</f>
        <v>2875812.5</v>
      </c>
      <c r="F10" s="26">
        <f>Маркетплейс!F7</f>
        <v>3596515.625</v>
      </c>
      <c r="G10" s="26">
        <f>Маркетплейс!G7</f>
        <v>4497394.53125</v>
      </c>
      <c r="H10" s="26">
        <f>Маркетплейс!H7</f>
        <v>5173053.7109375</v>
      </c>
      <c r="I10" s="26">
        <f>Маркетплейс!I7</f>
        <v>5950061.767578125</v>
      </c>
      <c r="J10" s="26">
        <f>Маркетплейс!J7</f>
        <v>6545767.9443359375</v>
      </c>
      <c r="K10" s="26">
        <f>Маркетплейс!K7</f>
        <v>7201044.7387695313</v>
      </c>
      <c r="L10" s="26">
        <f>Маркетплейс!L7</f>
        <v>7921849.2126464844</v>
      </c>
      <c r="M10" s="26">
        <f>Маркетплейс!M7</f>
        <v>8714734.1339111328</v>
      </c>
      <c r="N10" s="142"/>
      <c r="O10" s="27">
        <f t="shared" si="2"/>
        <v>58216484.164428711</v>
      </c>
      <c r="P10" s="14"/>
      <c r="Q10" s="14"/>
      <c r="R10" s="14"/>
      <c r="S10" s="14"/>
      <c r="T10" s="14"/>
      <c r="U10" s="20"/>
      <c r="V10" s="20"/>
      <c r="W10" s="20"/>
      <c r="X10" s="20"/>
      <c r="Y10" s="20"/>
      <c r="Z10" s="20"/>
    </row>
    <row r="11" spans="1:26" ht="17.25" customHeight="1" x14ac:dyDescent="0.2">
      <c r="A11" s="55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142"/>
      <c r="O11" s="62"/>
      <c r="P11" s="14"/>
      <c r="Q11" s="14"/>
      <c r="R11" s="14"/>
      <c r="S11" s="14"/>
      <c r="T11" s="14"/>
      <c r="U11" s="20"/>
      <c r="V11" s="20"/>
      <c r="W11" s="20"/>
      <c r="X11" s="20"/>
      <c r="Y11" s="20"/>
      <c r="Z11" s="20"/>
    </row>
    <row r="12" spans="1:26" ht="17.25" customHeight="1" x14ac:dyDescent="0.2">
      <c r="A12" s="33" t="s">
        <v>5</v>
      </c>
      <c r="B12" s="34">
        <f t="shared" ref="B12:M12" si="3">SUM(B14:B15)</f>
        <v>9360680</v>
      </c>
      <c r="C12" s="34">
        <f t="shared" si="3"/>
        <v>6791070</v>
      </c>
      <c r="D12" s="34">
        <f t="shared" si="3"/>
        <v>8362117.5</v>
      </c>
      <c r="E12" s="34">
        <f t="shared" si="3"/>
        <v>8667216.875</v>
      </c>
      <c r="F12" s="34">
        <f t="shared" si="3"/>
        <v>10031873.09375</v>
      </c>
      <c r="G12" s="34">
        <f t="shared" si="3"/>
        <v>7868455.3671875</v>
      </c>
      <c r="H12" s="34">
        <f t="shared" si="3"/>
        <v>8457930.4722656254</v>
      </c>
      <c r="I12" s="34">
        <f t="shared" si="3"/>
        <v>9079605.4031054676</v>
      </c>
      <c r="J12" s="34">
        <f t="shared" si="3"/>
        <v>9527534.2986160144</v>
      </c>
      <c r="K12" s="34">
        <f t="shared" si="3"/>
        <v>10008351.193757616</v>
      </c>
      <c r="L12" s="34">
        <f t="shared" si="3"/>
        <v>10537249.778413378</v>
      </c>
      <c r="M12" s="34">
        <f t="shared" si="3"/>
        <v>11119038.221534718</v>
      </c>
      <c r="N12" s="142"/>
      <c r="O12" s="34">
        <f t="shared" ref="O12:O14" si="4">SUM(B12:M12)</f>
        <v>109811122.20363034</v>
      </c>
      <c r="P12" s="14"/>
      <c r="Q12" s="14"/>
      <c r="R12" s="14"/>
      <c r="S12" s="14"/>
      <c r="T12" s="14"/>
      <c r="U12" s="20"/>
      <c r="V12" s="20"/>
      <c r="W12" s="20"/>
      <c r="X12" s="20"/>
      <c r="Y12" s="20"/>
      <c r="Z12" s="20"/>
    </row>
    <row r="13" spans="1:26" s="140" customFormat="1" ht="17.25" customHeight="1" x14ac:dyDescent="0.2">
      <c r="A13" s="135" t="s">
        <v>73</v>
      </c>
      <c r="B13" s="136" t="s">
        <v>68</v>
      </c>
      <c r="C13" s="136" t="s">
        <v>69</v>
      </c>
      <c r="D13" s="136" t="s">
        <v>70</v>
      </c>
      <c r="E13" s="136" t="s">
        <v>71</v>
      </c>
      <c r="F13" s="136" t="s">
        <v>72</v>
      </c>
      <c r="G13" s="136" t="s">
        <v>72</v>
      </c>
      <c r="H13" s="136" t="s">
        <v>72</v>
      </c>
      <c r="I13" s="136" t="s">
        <v>72</v>
      </c>
      <c r="J13" s="136" t="s">
        <v>72</v>
      </c>
      <c r="K13" s="136" t="s">
        <v>72</v>
      </c>
      <c r="L13" s="136" t="s">
        <v>72</v>
      </c>
      <c r="M13" s="136" t="s">
        <v>72</v>
      </c>
      <c r="N13" s="142"/>
      <c r="O13" s="137"/>
      <c r="P13" s="138"/>
      <c r="Q13" s="138"/>
      <c r="R13" s="138"/>
      <c r="S13" s="138"/>
      <c r="T13" s="138"/>
      <c r="U13" s="139"/>
      <c r="V13" s="139"/>
      <c r="W13" s="139"/>
      <c r="X13" s="139"/>
      <c r="Y13" s="139"/>
      <c r="Z13" s="139"/>
    </row>
    <row r="14" spans="1:26" ht="17.25" customHeight="1" x14ac:dyDescent="0.2">
      <c r="A14" s="55" t="s">
        <v>74</v>
      </c>
      <c r="B14" s="32">
        <f>'1 розничный магазин'!B13*2</f>
        <v>3699000</v>
      </c>
      <c r="C14" s="32">
        <f>'1 розничный магазин'!B13*2+'1 розничный магазин'!C13*2</f>
        <v>4906000</v>
      </c>
      <c r="D14" s="32">
        <f>'1 розничный магазин'!B13*2+'1 розничный магазин'!D13*4</f>
        <v>6138600</v>
      </c>
      <c r="E14" s="32">
        <f>'1 розничный магазин'!B13*2+'1 розничный магазин'!E13*6</f>
        <v>6020640</v>
      </c>
      <c r="F14" s="32">
        <f>'1 розничный магазин'!B13*2+'1 розничный магазин'!F13*8</f>
        <v>6856472</v>
      </c>
      <c r="G14" s="32">
        <f>'1 розничный магазин'!G13*10</f>
        <v>4032024</v>
      </c>
      <c r="H14" s="32">
        <f>'1 розничный магазин'!H13*10</f>
        <v>4125726.4000000004</v>
      </c>
      <c r="I14" s="32">
        <f>'1 розничный магазин'!I13*10</f>
        <v>4177262.7199999997</v>
      </c>
      <c r="J14" s="32">
        <f>'1 розничный магазин'!J13*10</f>
        <v>4188085.3471999997</v>
      </c>
      <c r="K14" s="32">
        <f>'1 розничный магазин'!K13*10</f>
        <v>4188085.3471999997</v>
      </c>
      <c r="L14" s="32">
        <f>'1 розничный магазин'!L13*10</f>
        <v>4188085.3471999997</v>
      </c>
      <c r="M14" s="32">
        <f>'1 розничный магазин'!M13*10</f>
        <v>4188085.3471999997</v>
      </c>
      <c r="N14" s="142"/>
      <c r="O14" s="27">
        <f t="shared" si="4"/>
        <v>56708066.508799993</v>
      </c>
      <c r="P14" s="14"/>
      <c r="Q14" s="14"/>
      <c r="R14" s="14"/>
      <c r="S14" s="14"/>
      <c r="T14" s="14"/>
      <c r="U14" s="20"/>
      <c r="V14" s="20"/>
      <c r="W14" s="20"/>
      <c r="X14" s="20"/>
      <c r="Y14" s="20"/>
      <c r="Z14" s="20"/>
    </row>
    <row r="15" spans="1:26" ht="17.25" customHeight="1" x14ac:dyDescent="0.2">
      <c r="A15" s="58" t="s">
        <v>67</v>
      </c>
      <c r="B15" s="32">
        <f>Маркетплейс!B16</f>
        <v>5661680</v>
      </c>
      <c r="C15" s="32">
        <f>Маркетплейс!C16</f>
        <v>1885070</v>
      </c>
      <c r="D15" s="32">
        <f>Маркетплейс!D16</f>
        <v>2223517.5</v>
      </c>
      <c r="E15" s="32">
        <f>Маркетплейс!E16</f>
        <v>2646576.875</v>
      </c>
      <c r="F15" s="32">
        <f>Маркетплейс!F16</f>
        <v>3175401.09375</v>
      </c>
      <c r="G15" s="32">
        <f>Маркетплейс!G16</f>
        <v>3836431.3671875</v>
      </c>
      <c r="H15" s="32">
        <f>Маркетплейс!H16</f>
        <v>4332204.072265625</v>
      </c>
      <c r="I15" s="32">
        <f>Маркетплейс!I16</f>
        <v>4902342.6831054688</v>
      </c>
      <c r="J15" s="32">
        <f>Маркетплейс!J16</f>
        <v>5339448.9514160156</v>
      </c>
      <c r="K15" s="32">
        <f>Маркетплейс!K16</f>
        <v>5820265.8465576172</v>
      </c>
      <c r="L15" s="32">
        <f>Маркетплейс!L16</f>
        <v>6349164.4312133789</v>
      </c>
      <c r="M15" s="32">
        <f>Маркетплейс!M16</f>
        <v>6930952.8743347172</v>
      </c>
      <c r="N15" s="142"/>
      <c r="O15" s="32">
        <f t="shared" ref="O15" si="5">SUM(B15:M15)</f>
        <v>53103055.694830321</v>
      </c>
      <c r="P15" s="14"/>
      <c r="Q15" s="14"/>
      <c r="R15" s="14"/>
      <c r="S15" s="14"/>
      <c r="T15" s="14"/>
      <c r="U15" s="20"/>
      <c r="V15" s="20"/>
      <c r="W15" s="20"/>
      <c r="X15" s="20"/>
      <c r="Y15" s="20"/>
      <c r="Z15" s="20"/>
    </row>
    <row r="16" spans="1:26" ht="17.25" customHeight="1" x14ac:dyDescent="0.2">
      <c r="A16" s="36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142"/>
      <c r="O16" s="27"/>
      <c r="P16" s="14"/>
      <c r="Q16" s="14"/>
      <c r="R16" s="14"/>
      <c r="S16" s="14"/>
      <c r="T16" s="14"/>
      <c r="U16" s="20"/>
      <c r="V16" s="20"/>
      <c r="W16" s="20"/>
      <c r="X16" s="20"/>
      <c r="Y16" s="20"/>
      <c r="Z16" s="20"/>
    </row>
    <row r="17" spans="1:26" ht="17.25" customHeight="1" x14ac:dyDescent="0.2">
      <c r="A17" s="37" t="s">
        <v>7</v>
      </c>
      <c r="B17" s="38">
        <f t="shared" ref="B17:M17" si="6">B7-B12</f>
        <v>-6157680</v>
      </c>
      <c r="C17" s="38">
        <f t="shared" si="6"/>
        <v>-2713070</v>
      </c>
      <c r="D17" s="38">
        <f t="shared" si="6"/>
        <v>-1646867.5</v>
      </c>
      <c r="E17" s="38">
        <f t="shared" si="6"/>
        <v>454995.625</v>
      </c>
      <c r="F17" s="38">
        <f t="shared" si="6"/>
        <v>1979362.53125</v>
      </c>
      <c r="G17" s="38">
        <f t="shared" si="6"/>
        <v>5999179.1640625019</v>
      </c>
      <c r="H17" s="38">
        <f t="shared" si="6"/>
        <v>7022387.2386718746</v>
      </c>
      <c r="I17" s="38">
        <f t="shared" si="6"/>
        <v>7693083.5644726567</v>
      </c>
      <c r="J17" s="39">
        <f t="shared" si="6"/>
        <v>7949087.1177199259</v>
      </c>
      <c r="K17" s="39">
        <f t="shared" si="6"/>
        <v>8123547.0170119181</v>
      </c>
      <c r="L17" s="39">
        <f t="shared" si="6"/>
        <v>8315452.9062331095</v>
      </c>
      <c r="M17" s="39">
        <f t="shared" si="6"/>
        <v>8526549.3843764178</v>
      </c>
      <c r="N17" s="142"/>
      <c r="O17" s="39">
        <f>SUM(B17:M17)</f>
        <v>45546027.048798412</v>
      </c>
      <c r="P17" s="14"/>
      <c r="Q17" s="14"/>
      <c r="R17" s="14"/>
      <c r="S17" s="14"/>
      <c r="T17" s="14"/>
      <c r="U17" s="20"/>
      <c r="V17" s="20"/>
      <c r="W17" s="20"/>
      <c r="X17" s="20"/>
      <c r="Y17" s="20"/>
      <c r="Z17" s="20"/>
    </row>
    <row r="18" spans="1:26" ht="17.25" customHeight="1" x14ac:dyDescent="0.2">
      <c r="A18" s="36" t="s">
        <v>8</v>
      </c>
      <c r="B18" s="40">
        <f t="shared" ref="B18:M18" si="7">B17/B7*100%</f>
        <v>-1.9224726818607556</v>
      </c>
      <c r="C18" s="40">
        <f t="shared" si="7"/>
        <v>-0.66529426189308483</v>
      </c>
      <c r="D18" s="40">
        <f t="shared" si="7"/>
        <v>-0.24524291724060907</v>
      </c>
      <c r="E18" s="40">
        <f t="shared" si="7"/>
        <v>4.9877770880693693E-2</v>
      </c>
      <c r="F18" s="40">
        <f t="shared" si="7"/>
        <v>0.16479258196635369</v>
      </c>
      <c r="G18" s="40">
        <f t="shared" si="7"/>
        <v>0.43260291800621509</v>
      </c>
      <c r="H18" s="40">
        <f t="shared" si="7"/>
        <v>0.45363327612522192</v>
      </c>
      <c r="I18" s="40">
        <f t="shared" si="7"/>
        <v>0.45866727626938708</v>
      </c>
      <c r="J18" s="40">
        <f t="shared" si="7"/>
        <v>0.45484118058938255</v>
      </c>
      <c r="K18" s="40">
        <f t="shared" si="7"/>
        <v>0.44802518316515233</v>
      </c>
      <c r="L18" s="40">
        <f t="shared" si="7"/>
        <v>0.4410748445635414</v>
      </c>
      <c r="M18" s="40">
        <f t="shared" si="7"/>
        <v>0.43401854683190416</v>
      </c>
      <c r="N18" s="142"/>
      <c r="O18" s="40">
        <f>O17/O7*100%</f>
        <v>0.29316981721126933</v>
      </c>
      <c r="P18" s="14"/>
      <c r="Q18" s="14"/>
      <c r="R18" s="14"/>
      <c r="S18" s="14"/>
      <c r="T18" s="14"/>
      <c r="U18" s="20"/>
      <c r="V18" s="20"/>
      <c r="W18" s="20"/>
      <c r="X18" s="20"/>
      <c r="Y18" s="20"/>
      <c r="Z18" s="20"/>
    </row>
    <row r="19" spans="1:26" ht="17.25" customHeight="1" x14ac:dyDescent="0.2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142"/>
      <c r="O19" s="62"/>
      <c r="P19" s="14"/>
      <c r="Q19" s="14"/>
      <c r="R19" s="14"/>
      <c r="S19" s="14"/>
      <c r="T19" s="14"/>
      <c r="U19" s="20"/>
      <c r="V19" s="20"/>
      <c r="W19" s="20"/>
      <c r="X19" s="20"/>
      <c r="Y19" s="20"/>
      <c r="Z19" s="20"/>
    </row>
    <row r="20" spans="1:26" ht="17.25" customHeight="1" x14ac:dyDescent="0.2">
      <c r="A20" s="15" t="s">
        <v>9</v>
      </c>
      <c r="B20" s="41"/>
      <c r="C20" s="42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142"/>
      <c r="O20" s="43"/>
      <c r="P20" s="14"/>
      <c r="Q20" s="14"/>
      <c r="R20" s="14"/>
      <c r="S20" s="14"/>
      <c r="T20" s="14"/>
      <c r="U20" s="20"/>
      <c r="V20" s="20"/>
      <c r="W20" s="20"/>
      <c r="X20" s="20"/>
      <c r="Y20" s="20"/>
      <c r="Z20" s="20"/>
    </row>
    <row r="21" spans="1:26" ht="17.25" customHeight="1" x14ac:dyDescent="0.2">
      <c r="A21" s="36" t="s">
        <v>10</v>
      </c>
      <c r="B21" s="32">
        <v>0</v>
      </c>
      <c r="C21" s="27">
        <f t="shared" ref="C21:M21" si="8">B22</f>
        <v>3203000</v>
      </c>
      <c r="D21" s="27">
        <f t="shared" si="8"/>
        <v>4188930</v>
      </c>
      <c r="E21" s="27">
        <f t="shared" si="8"/>
        <v>6241062.5</v>
      </c>
      <c r="F21" s="44">
        <f t="shared" si="8"/>
        <v>10395058.125</v>
      </c>
      <c r="G21" s="27">
        <f t="shared" si="8"/>
        <v>16073420.65625</v>
      </c>
      <c r="H21" s="27">
        <f t="shared" si="8"/>
        <v>22072599.8203125</v>
      </c>
      <c r="I21" s="27">
        <f t="shared" si="8"/>
        <v>29094987.058984376</v>
      </c>
      <c r="J21" s="27">
        <f t="shared" si="8"/>
        <v>36788070.623457029</v>
      </c>
      <c r="K21" s="27">
        <f t="shared" si="8"/>
        <v>44737157.741176955</v>
      </c>
      <c r="L21" s="27">
        <f t="shared" si="8"/>
        <v>52860704.758188874</v>
      </c>
      <c r="M21" s="27">
        <f t="shared" si="8"/>
        <v>61176157.664421983</v>
      </c>
      <c r="N21" s="142"/>
      <c r="O21" s="32">
        <f>B21</f>
        <v>0</v>
      </c>
      <c r="P21" s="14"/>
      <c r="Q21" s="14"/>
      <c r="R21" s="14"/>
      <c r="S21" s="14"/>
      <c r="T21" s="14"/>
      <c r="U21" s="20"/>
      <c r="V21" s="20"/>
      <c r="W21" s="20"/>
      <c r="X21" s="20"/>
      <c r="Y21" s="20"/>
      <c r="Z21" s="20"/>
    </row>
    <row r="22" spans="1:26" ht="17.25" customHeight="1" x14ac:dyDescent="0.2">
      <c r="A22" s="36" t="s">
        <v>11</v>
      </c>
      <c r="B22" s="32">
        <f t="shared" ref="B22:M22" si="9">B21+B5+B17</f>
        <v>3203000</v>
      </c>
      <c r="C22" s="32">
        <f t="shared" si="9"/>
        <v>4188930</v>
      </c>
      <c r="D22" s="32">
        <f t="shared" si="9"/>
        <v>6241062.5</v>
      </c>
      <c r="E22" s="45">
        <f t="shared" si="9"/>
        <v>10395058.125</v>
      </c>
      <c r="F22" s="32">
        <f t="shared" si="9"/>
        <v>16073420.65625</v>
      </c>
      <c r="G22" s="32">
        <f t="shared" si="9"/>
        <v>22072599.8203125</v>
      </c>
      <c r="H22" s="32">
        <f t="shared" si="9"/>
        <v>29094987.058984376</v>
      </c>
      <c r="I22" s="32">
        <f t="shared" si="9"/>
        <v>36788070.623457029</v>
      </c>
      <c r="J22" s="32">
        <f t="shared" si="9"/>
        <v>44737157.741176955</v>
      </c>
      <c r="K22" s="32">
        <f t="shared" si="9"/>
        <v>52860704.758188874</v>
      </c>
      <c r="L22" s="32">
        <f t="shared" si="9"/>
        <v>61176157.664421983</v>
      </c>
      <c r="M22" s="32">
        <f t="shared" si="9"/>
        <v>69702707.048798397</v>
      </c>
      <c r="N22" s="142"/>
      <c r="O22" s="32">
        <f>M22</f>
        <v>69702707.048798397</v>
      </c>
      <c r="P22" s="14"/>
      <c r="Q22" s="14"/>
      <c r="R22" s="14"/>
      <c r="S22" s="14"/>
      <c r="T22" s="14"/>
      <c r="U22" s="20"/>
      <c r="V22" s="20"/>
      <c r="W22" s="20"/>
      <c r="X22" s="20"/>
      <c r="Y22" s="20"/>
      <c r="Z22" s="20"/>
    </row>
    <row r="23" spans="1:26" ht="13.5" customHeight="1" x14ac:dyDescent="0.2">
      <c r="A23" s="146"/>
      <c r="B23" s="147"/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42"/>
      <c r="P23" s="14"/>
      <c r="Q23" s="14"/>
      <c r="R23" s="14"/>
      <c r="S23" s="14"/>
      <c r="T23" s="14"/>
      <c r="U23" s="8"/>
      <c r="V23" s="8"/>
      <c r="W23" s="8"/>
      <c r="X23" s="8"/>
      <c r="Y23" s="8"/>
      <c r="Z23" s="8"/>
    </row>
    <row r="24" spans="1:26" ht="13.5" customHeight="1" x14ac:dyDescent="0.2">
      <c r="A24" s="142"/>
      <c r="B24" s="142"/>
      <c r="C24" s="142"/>
      <c r="D24" s="142"/>
      <c r="E24" s="142"/>
      <c r="F24" s="142"/>
      <c r="G24" s="142"/>
      <c r="H24" s="142"/>
      <c r="I24" s="142"/>
      <c r="J24" s="142"/>
      <c r="K24" s="142"/>
      <c r="L24" s="142"/>
      <c r="M24" s="142"/>
      <c r="N24" s="142"/>
      <c r="O24" s="142"/>
      <c r="P24" s="14"/>
      <c r="Q24" s="14"/>
      <c r="R24" s="14"/>
      <c r="S24" s="14"/>
      <c r="T24" s="14"/>
      <c r="U24" s="8"/>
      <c r="V24" s="8"/>
      <c r="W24" s="8"/>
      <c r="X24" s="8"/>
      <c r="Y24" s="8"/>
      <c r="Z24" s="8"/>
    </row>
    <row r="25" spans="1:26" ht="42.75" customHeight="1" x14ac:dyDescent="0.25">
      <c r="A25" s="142"/>
      <c r="B25" s="163"/>
      <c r="C25" s="164"/>
      <c r="D25" s="164"/>
      <c r="E25" s="164"/>
      <c r="F25" s="164"/>
      <c r="G25" s="164"/>
      <c r="H25" s="165"/>
      <c r="I25" s="148"/>
      <c r="J25" s="149"/>
      <c r="K25" s="149"/>
      <c r="L25" s="149"/>
      <c r="M25" s="149"/>
      <c r="N25" s="149"/>
      <c r="O25" s="150"/>
      <c r="P25" s="14"/>
      <c r="Q25" s="14"/>
      <c r="R25" s="14"/>
      <c r="S25" s="14"/>
      <c r="T25" s="14"/>
      <c r="U25" s="8"/>
      <c r="V25" s="8"/>
      <c r="W25" s="8"/>
      <c r="X25" s="8"/>
      <c r="Y25" s="8"/>
      <c r="Z25" s="8"/>
    </row>
    <row r="26" spans="1:26" ht="41.25" customHeight="1" x14ac:dyDescent="0.2">
      <c r="A26" s="142"/>
      <c r="B26" s="166"/>
      <c r="C26" s="167"/>
      <c r="D26" s="167"/>
      <c r="E26" s="167"/>
      <c r="F26" s="167"/>
      <c r="G26" s="167"/>
      <c r="H26" s="168"/>
      <c r="I26" s="160"/>
      <c r="J26" s="161"/>
      <c r="K26" s="161"/>
      <c r="L26" s="161"/>
      <c r="M26" s="161"/>
      <c r="N26" s="161"/>
      <c r="O26" s="162"/>
      <c r="P26" s="14"/>
      <c r="Q26" s="14"/>
      <c r="R26" s="14"/>
      <c r="S26" s="14"/>
      <c r="T26" s="14"/>
      <c r="U26" s="8"/>
      <c r="V26" s="8"/>
      <c r="W26" s="8"/>
      <c r="X26" s="8"/>
      <c r="Y26" s="8"/>
      <c r="Z26" s="8"/>
    </row>
    <row r="27" spans="1:26" ht="12" customHeight="1" x14ac:dyDescent="0.2">
      <c r="A27" s="142"/>
      <c r="B27" s="166"/>
      <c r="C27" s="167"/>
      <c r="D27" s="167"/>
      <c r="E27" s="167"/>
      <c r="F27" s="167"/>
      <c r="G27" s="167"/>
      <c r="H27" s="168"/>
      <c r="I27" s="151"/>
      <c r="J27" s="152"/>
      <c r="K27" s="152"/>
      <c r="L27" s="152"/>
      <c r="M27" s="152"/>
      <c r="N27" s="152"/>
      <c r="O27" s="153"/>
      <c r="P27" s="14"/>
      <c r="Q27" s="14"/>
      <c r="R27" s="14"/>
      <c r="S27" s="14"/>
      <c r="T27" s="14"/>
      <c r="U27" s="8"/>
      <c r="V27" s="8"/>
      <c r="W27" s="8"/>
      <c r="X27" s="8"/>
      <c r="Y27" s="8"/>
      <c r="Z27" s="8"/>
    </row>
    <row r="28" spans="1:26" ht="2.25" customHeight="1" x14ac:dyDescent="0.2">
      <c r="A28" s="142"/>
      <c r="B28" s="169"/>
      <c r="C28" s="170"/>
      <c r="D28" s="170"/>
      <c r="E28" s="170"/>
      <c r="F28" s="170"/>
      <c r="G28" s="170"/>
      <c r="H28" s="171"/>
      <c r="I28" s="154"/>
      <c r="J28" s="155"/>
      <c r="K28" s="155"/>
      <c r="L28" s="155"/>
      <c r="M28" s="155"/>
      <c r="N28" s="155"/>
      <c r="O28" s="156"/>
      <c r="P28" s="14"/>
      <c r="Q28" s="14"/>
      <c r="R28" s="14"/>
      <c r="S28" s="14"/>
      <c r="T28" s="14"/>
      <c r="U28" s="8"/>
      <c r="V28" s="8"/>
      <c r="W28" s="8"/>
      <c r="X28" s="8"/>
      <c r="Y28" s="8"/>
      <c r="Z28" s="8"/>
    </row>
    <row r="29" spans="1:26" ht="21" customHeight="1" x14ac:dyDescent="0.2">
      <c r="A29" s="142"/>
      <c r="B29" s="172"/>
      <c r="C29" s="173"/>
      <c r="D29" s="173"/>
      <c r="E29" s="173"/>
      <c r="F29" s="173"/>
      <c r="G29" s="173"/>
      <c r="H29" s="174"/>
      <c r="I29" s="154"/>
      <c r="J29" s="155"/>
      <c r="K29" s="155"/>
      <c r="L29" s="155"/>
      <c r="M29" s="155"/>
      <c r="N29" s="155"/>
      <c r="O29" s="156"/>
      <c r="P29" s="14"/>
      <c r="Q29" s="14"/>
      <c r="R29" s="14"/>
      <c r="S29" s="14"/>
      <c r="T29" s="14"/>
      <c r="U29" s="8"/>
      <c r="V29" s="8"/>
      <c r="W29" s="8"/>
      <c r="X29" s="8"/>
      <c r="Y29" s="8"/>
      <c r="Z29" s="8"/>
    </row>
    <row r="30" spans="1:26" ht="21.75" customHeight="1" x14ac:dyDescent="0.2">
      <c r="A30" s="142"/>
      <c r="B30" s="175"/>
      <c r="C30" s="176"/>
      <c r="D30" s="176"/>
      <c r="E30" s="176"/>
      <c r="F30" s="176"/>
      <c r="G30" s="176"/>
      <c r="H30" s="177"/>
      <c r="I30" s="154"/>
      <c r="J30" s="155"/>
      <c r="K30" s="155"/>
      <c r="L30" s="155"/>
      <c r="M30" s="155"/>
      <c r="N30" s="155"/>
      <c r="O30" s="156"/>
      <c r="P30" s="14"/>
      <c r="Q30" s="14"/>
      <c r="R30" s="14"/>
      <c r="S30" s="14"/>
      <c r="T30" s="14"/>
      <c r="U30" s="8"/>
      <c r="V30" s="8"/>
      <c r="W30" s="8"/>
      <c r="X30" s="8"/>
      <c r="Y30" s="8"/>
      <c r="Z30" s="8"/>
    </row>
    <row r="31" spans="1:26" ht="23.25" customHeight="1" x14ac:dyDescent="0.2">
      <c r="A31" s="142"/>
      <c r="B31" s="175"/>
      <c r="C31" s="176"/>
      <c r="D31" s="176"/>
      <c r="E31" s="176"/>
      <c r="F31" s="176"/>
      <c r="G31" s="176"/>
      <c r="H31" s="177"/>
      <c r="I31" s="154"/>
      <c r="J31" s="155"/>
      <c r="K31" s="155"/>
      <c r="L31" s="155"/>
      <c r="M31" s="155"/>
      <c r="N31" s="155"/>
      <c r="O31" s="156"/>
      <c r="P31" s="14"/>
      <c r="Q31" s="14"/>
      <c r="R31" s="14"/>
      <c r="S31" s="14"/>
      <c r="T31" s="14"/>
      <c r="U31" s="8"/>
      <c r="V31" s="8"/>
      <c r="W31" s="8"/>
      <c r="X31" s="8"/>
      <c r="Y31" s="8"/>
      <c r="Z31" s="8"/>
    </row>
    <row r="32" spans="1:26" ht="20.25" customHeight="1" x14ac:dyDescent="0.2">
      <c r="A32" s="142"/>
      <c r="B32" s="178"/>
      <c r="C32" s="179"/>
      <c r="D32" s="179"/>
      <c r="E32" s="179"/>
      <c r="F32" s="179"/>
      <c r="G32" s="179"/>
      <c r="H32" s="180"/>
      <c r="I32" s="154"/>
      <c r="J32" s="155"/>
      <c r="K32" s="155"/>
      <c r="L32" s="155"/>
      <c r="M32" s="155"/>
      <c r="N32" s="155"/>
      <c r="O32" s="156"/>
      <c r="P32" s="14"/>
      <c r="Q32" s="14"/>
      <c r="R32" s="14"/>
      <c r="S32" s="14"/>
      <c r="T32" s="14"/>
      <c r="U32" s="8"/>
      <c r="V32" s="8"/>
      <c r="W32" s="8"/>
      <c r="X32" s="8"/>
      <c r="Y32" s="8"/>
      <c r="Z32" s="8"/>
    </row>
    <row r="33" spans="1:26" ht="22.5" customHeight="1" x14ac:dyDescent="0.2">
      <c r="A33" s="142"/>
      <c r="B33" s="172"/>
      <c r="C33" s="187"/>
      <c r="D33" s="187"/>
      <c r="E33" s="187"/>
      <c r="F33" s="187"/>
      <c r="G33" s="187"/>
      <c r="H33" s="188"/>
      <c r="I33" s="154"/>
      <c r="J33" s="155"/>
      <c r="K33" s="155"/>
      <c r="L33" s="155"/>
      <c r="M33" s="155"/>
      <c r="N33" s="155"/>
      <c r="O33" s="156"/>
      <c r="P33" s="14"/>
      <c r="Q33" s="14"/>
      <c r="R33" s="14"/>
      <c r="S33" s="14"/>
      <c r="T33" s="14"/>
      <c r="U33" s="8"/>
      <c r="V33" s="8"/>
      <c r="W33" s="8"/>
      <c r="X33" s="8"/>
      <c r="Y33" s="8"/>
      <c r="Z33" s="8"/>
    </row>
    <row r="34" spans="1:26" ht="19.5" customHeight="1" x14ac:dyDescent="0.2">
      <c r="A34" s="142"/>
      <c r="B34" s="189"/>
      <c r="C34" s="190"/>
      <c r="D34" s="190"/>
      <c r="E34" s="190"/>
      <c r="F34" s="190"/>
      <c r="G34" s="190"/>
      <c r="H34" s="191"/>
      <c r="I34" s="154"/>
      <c r="J34" s="155"/>
      <c r="K34" s="155"/>
      <c r="L34" s="155"/>
      <c r="M34" s="155"/>
      <c r="N34" s="155"/>
      <c r="O34" s="156"/>
      <c r="P34" s="14"/>
      <c r="Q34" s="14"/>
      <c r="R34" s="14"/>
      <c r="S34" s="14"/>
      <c r="T34" s="14"/>
      <c r="U34" s="8"/>
      <c r="V34" s="8"/>
      <c r="W34" s="8"/>
      <c r="X34" s="8"/>
      <c r="Y34" s="8"/>
      <c r="Z34" s="8"/>
    </row>
    <row r="35" spans="1:26" ht="27" customHeight="1" x14ac:dyDescent="0.2">
      <c r="A35" s="142"/>
      <c r="B35" s="192"/>
      <c r="C35" s="193"/>
      <c r="D35" s="193"/>
      <c r="E35" s="193"/>
      <c r="F35" s="193"/>
      <c r="G35" s="193"/>
      <c r="H35" s="194"/>
      <c r="I35" s="157"/>
      <c r="J35" s="158"/>
      <c r="K35" s="158"/>
      <c r="L35" s="158"/>
      <c r="M35" s="158"/>
      <c r="N35" s="158"/>
      <c r="O35" s="159"/>
      <c r="P35" s="14"/>
      <c r="Q35" s="14"/>
      <c r="R35" s="14"/>
      <c r="S35" s="14"/>
      <c r="T35" s="14"/>
      <c r="U35" s="8"/>
      <c r="V35" s="8"/>
      <c r="W35" s="8"/>
      <c r="X35" s="8"/>
      <c r="Y35" s="8"/>
      <c r="Z35" s="8"/>
    </row>
    <row r="36" spans="1:26" ht="44.25" customHeight="1" x14ac:dyDescent="0.2">
      <c r="A36" s="142"/>
      <c r="B36" s="181"/>
      <c r="C36" s="182"/>
      <c r="D36" s="182"/>
      <c r="E36" s="182"/>
      <c r="F36" s="182"/>
      <c r="G36" s="182"/>
      <c r="H36" s="183"/>
      <c r="I36" s="46"/>
      <c r="J36" s="47"/>
      <c r="K36" s="47"/>
      <c r="L36" s="47"/>
      <c r="M36" s="47"/>
      <c r="N36" s="47"/>
      <c r="O36" s="48"/>
      <c r="P36" s="14"/>
      <c r="Q36" s="14"/>
      <c r="R36" s="14"/>
      <c r="S36" s="14"/>
      <c r="T36" s="14"/>
      <c r="U36" s="8"/>
      <c r="V36" s="8"/>
      <c r="W36" s="8"/>
      <c r="X36" s="8"/>
      <c r="Y36" s="8"/>
      <c r="Z36" s="8"/>
    </row>
    <row r="37" spans="1:26" ht="6" customHeight="1" x14ac:dyDescent="0.2">
      <c r="A37" s="142"/>
      <c r="B37" s="181"/>
      <c r="C37" s="182"/>
      <c r="D37" s="182"/>
      <c r="E37" s="182"/>
      <c r="F37" s="182"/>
      <c r="G37" s="182"/>
      <c r="H37" s="183"/>
      <c r="I37" s="49"/>
      <c r="J37" s="184"/>
      <c r="K37" s="185"/>
      <c r="L37" s="185"/>
      <c r="M37" s="185"/>
      <c r="N37" s="186"/>
      <c r="O37" s="50"/>
      <c r="P37" s="14"/>
      <c r="Q37" s="14"/>
      <c r="R37" s="14"/>
      <c r="S37" s="14"/>
      <c r="T37" s="14"/>
      <c r="U37" s="8"/>
      <c r="V37" s="8"/>
      <c r="W37" s="8"/>
      <c r="X37" s="8"/>
      <c r="Y37" s="8"/>
      <c r="Z37" s="8"/>
    </row>
    <row r="38" spans="1:26" ht="13.5" customHeight="1" x14ac:dyDescent="0.25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14"/>
      <c r="Q38" s="14"/>
      <c r="R38" s="14"/>
      <c r="S38" s="14"/>
      <c r="T38" s="14"/>
      <c r="U38" s="8"/>
      <c r="V38" s="8"/>
      <c r="W38" s="8"/>
      <c r="X38" s="8"/>
      <c r="Y38" s="8"/>
      <c r="Z38" s="8"/>
    </row>
    <row r="39" spans="1:26" ht="13.5" customHeight="1" x14ac:dyDescent="0.25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14"/>
      <c r="Q39" s="14"/>
      <c r="R39" s="14"/>
      <c r="S39" s="14"/>
      <c r="T39" s="14"/>
      <c r="U39" s="8"/>
      <c r="V39" s="8"/>
      <c r="W39" s="8"/>
      <c r="X39" s="8"/>
      <c r="Y39" s="8"/>
      <c r="Z39" s="8"/>
    </row>
    <row r="40" spans="1:26" ht="13.5" customHeight="1" x14ac:dyDescent="0.25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14"/>
      <c r="Q40" s="14"/>
      <c r="R40" s="14"/>
      <c r="S40" s="14"/>
      <c r="T40" s="14"/>
      <c r="U40" s="8"/>
      <c r="V40" s="8"/>
      <c r="W40" s="8"/>
      <c r="X40" s="8"/>
      <c r="Y40" s="8"/>
      <c r="Z40" s="8"/>
    </row>
    <row r="41" spans="1:26" ht="13.5" customHeight="1" x14ac:dyDescent="0.25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14"/>
      <c r="Q41" s="14"/>
      <c r="R41" s="14"/>
      <c r="S41" s="14"/>
      <c r="T41" s="14"/>
      <c r="U41" s="8"/>
      <c r="V41" s="8"/>
      <c r="W41" s="8"/>
      <c r="X41" s="8"/>
      <c r="Y41" s="8"/>
      <c r="Z41" s="8"/>
    </row>
    <row r="42" spans="1:26" ht="13.5" customHeight="1" x14ac:dyDescent="0.25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14"/>
      <c r="Q42" s="14"/>
      <c r="R42" s="14"/>
      <c r="S42" s="14"/>
      <c r="T42" s="14"/>
      <c r="U42" s="8"/>
      <c r="V42" s="8"/>
      <c r="W42" s="8"/>
      <c r="X42" s="8"/>
      <c r="Y42" s="8"/>
      <c r="Z42" s="8"/>
    </row>
    <row r="43" spans="1:26" ht="14.25" customHeight="1" x14ac:dyDescent="0.25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14"/>
      <c r="Q43" s="14"/>
      <c r="R43" s="14"/>
      <c r="S43" s="14"/>
      <c r="T43" s="14"/>
      <c r="U43" s="8"/>
      <c r="V43" s="8"/>
      <c r="W43" s="8"/>
      <c r="X43" s="8"/>
      <c r="Y43" s="8"/>
      <c r="Z43" s="8"/>
    </row>
    <row r="44" spans="1:26" ht="13.5" customHeight="1" x14ac:dyDescent="0.25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14"/>
      <c r="Q44" s="14"/>
      <c r="R44" s="14"/>
      <c r="S44" s="14"/>
      <c r="T44" s="14"/>
      <c r="U44" s="8"/>
      <c r="V44" s="8"/>
      <c r="W44" s="8"/>
      <c r="X44" s="8"/>
      <c r="Y44" s="8"/>
      <c r="Z44" s="8"/>
    </row>
    <row r="45" spans="1:26" ht="13.5" customHeight="1" x14ac:dyDescent="0.25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14"/>
      <c r="Q45" s="14"/>
      <c r="R45" s="14"/>
      <c r="S45" s="14"/>
      <c r="T45" s="14"/>
      <c r="U45" s="8"/>
      <c r="V45" s="8"/>
      <c r="W45" s="8"/>
      <c r="X45" s="8"/>
      <c r="Y45" s="8"/>
      <c r="Z45" s="8"/>
    </row>
    <row r="46" spans="1:26" ht="15.75" customHeight="1" x14ac:dyDescent="0.25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14"/>
      <c r="Q46" s="14"/>
      <c r="R46" s="14"/>
      <c r="S46" s="14"/>
      <c r="T46" s="14"/>
      <c r="U46" s="8"/>
      <c r="V46" s="8"/>
      <c r="W46" s="8"/>
      <c r="X46" s="8"/>
      <c r="Y46" s="8"/>
      <c r="Z46" s="8"/>
    </row>
    <row r="47" spans="1:26" ht="15.75" customHeight="1" x14ac:dyDescent="0.25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14"/>
      <c r="Q47" s="14"/>
      <c r="R47" s="14"/>
      <c r="S47" s="14"/>
      <c r="T47" s="14"/>
      <c r="U47" s="8"/>
      <c r="V47" s="8"/>
      <c r="W47" s="8"/>
      <c r="X47" s="8"/>
      <c r="Y47" s="8"/>
      <c r="Z47" s="8"/>
    </row>
    <row r="48" spans="1:26" ht="15.75" customHeight="1" x14ac:dyDescent="0.25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14"/>
      <c r="Q48" s="14"/>
      <c r="R48" s="14"/>
      <c r="S48" s="14"/>
      <c r="T48" s="14"/>
      <c r="U48" s="8"/>
      <c r="V48" s="8"/>
      <c r="W48" s="8"/>
      <c r="X48" s="8"/>
      <c r="Y48" s="8"/>
      <c r="Z48" s="8"/>
    </row>
    <row r="49" spans="1:26" ht="15.75" customHeight="1" x14ac:dyDescent="0.25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14"/>
      <c r="Q49" s="14"/>
      <c r="R49" s="14"/>
      <c r="S49" s="14"/>
      <c r="T49" s="14"/>
      <c r="U49" s="8"/>
      <c r="V49" s="8"/>
      <c r="W49" s="8"/>
      <c r="X49" s="8"/>
      <c r="Y49" s="8"/>
      <c r="Z49" s="8"/>
    </row>
    <row r="50" spans="1:26" ht="15.75" customHeight="1" x14ac:dyDescent="0.25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14"/>
      <c r="Q50" s="14"/>
      <c r="R50" s="14"/>
      <c r="S50" s="14"/>
      <c r="T50" s="14"/>
      <c r="U50" s="8"/>
      <c r="V50" s="8"/>
      <c r="W50" s="8"/>
      <c r="X50" s="8"/>
      <c r="Y50" s="8"/>
      <c r="Z50" s="8"/>
    </row>
    <row r="51" spans="1:26" ht="15.75" customHeight="1" x14ac:dyDescent="0.25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14"/>
      <c r="Q51" s="14"/>
      <c r="R51" s="14"/>
      <c r="S51" s="14"/>
      <c r="T51" s="14"/>
      <c r="U51" s="8"/>
      <c r="V51" s="8"/>
      <c r="W51" s="8"/>
      <c r="X51" s="8"/>
      <c r="Y51" s="8"/>
      <c r="Z51" s="8"/>
    </row>
    <row r="52" spans="1:26" ht="15.75" customHeight="1" x14ac:dyDescent="0.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 x14ac:dyDescent="0.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 x14ac:dyDescent="0.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 x14ac:dyDescent="0.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 x14ac:dyDescent="0.2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 x14ac:dyDescent="0.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 x14ac:dyDescent="0.2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 x14ac:dyDescent="0.2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 x14ac:dyDescent="0.2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 x14ac:dyDescent="0.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 x14ac:dyDescent="0.2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 x14ac:dyDescent="0.2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 x14ac:dyDescent="0.2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 x14ac:dyDescent="0.2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 x14ac:dyDescent="0.2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 x14ac:dyDescent="0.2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 x14ac:dyDescent="0.2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 x14ac:dyDescent="0.2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 x14ac:dyDescent="0.2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 x14ac:dyDescent="0.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 x14ac:dyDescent="0.2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 x14ac:dyDescent="0.2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 x14ac:dyDescent="0.2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 x14ac:dyDescent="0.2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 x14ac:dyDescent="0.2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 x14ac:dyDescent="0.2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 x14ac:dyDescent="0.2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 x14ac:dyDescent="0.2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 x14ac:dyDescent="0.2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 x14ac:dyDescent="0.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 x14ac:dyDescent="0.2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 x14ac:dyDescent="0.2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 x14ac:dyDescent="0.2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 x14ac:dyDescent="0.2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 x14ac:dyDescent="0.2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 x14ac:dyDescent="0.2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 x14ac:dyDescent="0.2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 x14ac:dyDescent="0.2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 x14ac:dyDescent="0.2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 x14ac:dyDescent="0.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 x14ac:dyDescent="0.2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 x14ac:dyDescent="0.2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 x14ac:dyDescent="0.2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 x14ac:dyDescent="0.2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 x14ac:dyDescent="0.2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 x14ac:dyDescent="0.2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 x14ac:dyDescent="0.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 x14ac:dyDescent="0.2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 x14ac:dyDescent="0.2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 x14ac:dyDescent="0.2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 x14ac:dyDescent="0.2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 x14ac:dyDescent="0.2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 x14ac:dyDescent="0.2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 x14ac:dyDescent="0.2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 x14ac:dyDescent="0.2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 x14ac:dyDescent="0.2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 x14ac:dyDescent="0.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 x14ac:dyDescent="0.2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 x14ac:dyDescent="0.2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 x14ac:dyDescent="0.2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 x14ac:dyDescent="0.2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 x14ac:dyDescent="0.2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 x14ac:dyDescent="0.2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 x14ac:dyDescent="0.2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 x14ac:dyDescent="0.2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 x14ac:dyDescent="0.2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 x14ac:dyDescent="0.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 x14ac:dyDescent="0.2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 x14ac:dyDescent="0.2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 x14ac:dyDescent="0.2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 x14ac:dyDescent="0.2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 x14ac:dyDescent="0.2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 x14ac:dyDescent="0.2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 x14ac:dyDescent="0.2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 x14ac:dyDescent="0.2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 x14ac:dyDescent="0.2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 x14ac:dyDescent="0.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 x14ac:dyDescent="0.2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 x14ac:dyDescent="0.2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 x14ac:dyDescent="0.2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 x14ac:dyDescent="0.2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 x14ac:dyDescent="0.2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 x14ac:dyDescent="0.2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 x14ac:dyDescent="0.2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 x14ac:dyDescent="0.2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 x14ac:dyDescent="0.2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 x14ac:dyDescent="0.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 x14ac:dyDescent="0.2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 x14ac:dyDescent="0.2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 x14ac:dyDescent="0.2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 x14ac:dyDescent="0.2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 x14ac:dyDescent="0.2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 x14ac:dyDescent="0.2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 x14ac:dyDescent="0.2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 x14ac:dyDescent="0.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 x14ac:dyDescent="0.2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 x14ac:dyDescent="0.2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 x14ac:dyDescent="0.2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 x14ac:dyDescent="0.2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 x14ac:dyDescent="0.2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 x14ac:dyDescent="0.2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 x14ac:dyDescent="0.2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 x14ac:dyDescent="0.2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 x14ac:dyDescent="0.2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 x14ac:dyDescent="0.2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 x14ac:dyDescent="0.2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 x14ac:dyDescent="0.2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 x14ac:dyDescent="0.2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 x14ac:dyDescent="0.2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 x14ac:dyDescent="0.2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 x14ac:dyDescent="0.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 x14ac:dyDescent="0.2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 x14ac:dyDescent="0.2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 x14ac:dyDescent="0.2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 x14ac:dyDescent="0.2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 x14ac:dyDescent="0.2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 x14ac:dyDescent="0.2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 x14ac:dyDescent="0.2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 x14ac:dyDescent="0.2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 x14ac:dyDescent="0.2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 x14ac:dyDescent="0.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 x14ac:dyDescent="0.2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 x14ac:dyDescent="0.2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 x14ac:dyDescent="0.2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 x14ac:dyDescent="0.2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 x14ac:dyDescent="0.2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 x14ac:dyDescent="0.2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 x14ac:dyDescent="0.2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 x14ac:dyDescent="0.2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 x14ac:dyDescent="0.2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 x14ac:dyDescent="0.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 x14ac:dyDescent="0.2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 x14ac:dyDescent="0.2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 x14ac:dyDescent="0.2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 x14ac:dyDescent="0.2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 x14ac:dyDescent="0.2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 x14ac:dyDescent="0.2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 x14ac:dyDescent="0.2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 x14ac:dyDescent="0.2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 x14ac:dyDescent="0.2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 x14ac:dyDescent="0.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 x14ac:dyDescent="0.2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 x14ac:dyDescent="0.2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 x14ac:dyDescent="0.2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 x14ac:dyDescent="0.2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 x14ac:dyDescent="0.2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 x14ac:dyDescent="0.2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 x14ac:dyDescent="0.2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 x14ac:dyDescent="0.2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 x14ac:dyDescent="0.2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 x14ac:dyDescent="0.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 x14ac:dyDescent="0.2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 x14ac:dyDescent="0.2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 x14ac:dyDescent="0.2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 x14ac:dyDescent="0.2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 x14ac:dyDescent="0.2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 x14ac:dyDescent="0.2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 x14ac:dyDescent="0.2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 x14ac:dyDescent="0.2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 x14ac:dyDescent="0.2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 x14ac:dyDescent="0.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 x14ac:dyDescent="0.2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 x14ac:dyDescent="0.2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 x14ac:dyDescent="0.2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 x14ac:dyDescent="0.2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 x14ac:dyDescent="0.2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 x14ac:dyDescent="0.2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 x14ac:dyDescent="0.2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 x14ac:dyDescent="0.2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 x14ac:dyDescent="0.2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 x14ac:dyDescent="0.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 x14ac:dyDescent="0.2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 x14ac:dyDescent="0.2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 x14ac:dyDescent="0.2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 x14ac:dyDescent="0.2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 x14ac:dyDescent="0.2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 x14ac:dyDescent="0.2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 x14ac:dyDescent="0.2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 x14ac:dyDescent="0.2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 x14ac:dyDescent="0.2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 x14ac:dyDescent="0.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 x14ac:dyDescent="0.2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 x14ac:dyDescent="0.2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 x14ac:dyDescent="0.2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 x14ac:dyDescent="0.2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 x14ac:dyDescent="0.2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 x14ac:dyDescent="0.2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 x14ac:dyDescent="0.2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 x14ac:dyDescent="0.2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 x14ac:dyDescent="0.2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 x14ac:dyDescent="0.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 x14ac:dyDescent="0.2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 x14ac:dyDescent="0.2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 x14ac:dyDescent="0.2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 x14ac:dyDescent="0.2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 x14ac:dyDescent="0.2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 x14ac:dyDescent="0.2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 x14ac:dyDescent="0.2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 x14ac:dyDescent="0.2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 x14ac:dyDescent="0.2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 x14ac:dyDescent="0.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 x14ac:dyDescent="0.2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 x14ac:dyDescent="0.2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 x14ac:dyDescent="0.2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 x14ac:dyDescent="0.2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 x14ac:dyDescent="0.2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 x14ac:dyDescent="0.2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 x14ac:dyDescent="0.2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 x14ac:dyDescent="0.2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 x14ac:dyDescent="0.2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 x14ac:dyDescent="0.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 x14ac:dyDescent="0.2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 x14ac:dyDescent="0.2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 x14ac:dyDescent="0.2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 x14ac:dyDescent="0.2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 x14ac:dyDescent="0.2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 x14ac:dyDescent="0.2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 x14ac:dyDescent="0.2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 x14ac:dyDescent="0.2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 x14ac:dyDescent="0.2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 x14ac:dyDescent="0.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 x14ac:dyDescent="0.2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 x14ac:dyDescent="0.2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 x14ac:dyDescent="0.2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 x14ac:dyDescent="0.2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 x14ac:dyDescent="0.2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 x14ac:dyDescent="0.2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 x14ac:dyDescent="0.2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 x14ac:dyDescent="0.2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 x14ac:dyDescent="0.2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 x14ac:dyDescent="0.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 x14ac:dyDescent="0.2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 x14ac:dyDescent="0.2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 x14ac:dyDescent="0.2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 x14ac:dyDescent="0.2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 x14ac:dyDescent="0.2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 x14ac:dyDescent="0.2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 x14ac:dyDescent="0.2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 x14ac:dyDescent="0.2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 x14ac:dyDescent="0.2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 x14ac:dyDescent="0.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 x14ac:dyDescent="0.2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 x14ac:dyDescent="0.2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 x14ac:dyDescent="0.2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 x14ac:dyDescent="0.2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 x14ac:dyDescent="0.2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 x14ac:dyDescent="0.2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 x14ac:dyDescent="0.2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 x14ac:dyDescent="0.2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 x14ac:dyDescent="0.2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 x14ac:dyDescent="0.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 x14ac:dyDescent="0.2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 x14ac:dyDescent="0.2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 x14ac:dyDescent="0.2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 x14ac:dyDescent="0.2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 x14ac:dyDescent="0.2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 x14ac:dyDescent="0.2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 x14ac:dyDescent="0.2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 x14ac:dyDescent="0.2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 x14ac:dyDescent="0.2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 x14ac:dyDescent="0.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 x14ac:dyDescent="0.2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 x14ac:dyDescent="0.2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 x14ac:dyDescent="0.2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 x14ac:dyDescent="0.2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 x14ac:dyDescent="0.2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 x14ac:dyDescent="0.2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 x14ac:dyDescent="0.2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 x14ac:dyDescent="0.2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 x14ac:dyDescent="0.2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 x14ac:dyDescent="0.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 x14ac:dyDescent="0.2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 x14ac:dyDescent="0.2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 x14ac:dyDescent="0.2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 x14ac:dyDescent="0.2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 x14ac:dyDescent="0.2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 x14ac:dyDescent="0.2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 x14ac:dyDescent="0.2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 x14ac:dyDescent="0.2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 x14ac:dyDescent="0.2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 x14ac:dyDescent="0.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 x14ac:dyDescent="0.2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 x14ac:dyDescent="0.2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 x14ac:dyDescent="0.2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 x14ac:dyDescent="0.2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 x14ac:dyDescent="0.2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 x14ac:dyDescent="0.2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 x14ac:dyDescent="0.2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 x14ac:dyDescent="0.2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 x14ac:dyDescent="0.2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 x14ac:dyDescent="0.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 x14ac:dyDescent="0.2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 x14ac:dyDescent="0.2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 x14ac:dyDescent="0.2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 x14ac:dyDescent="0.2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 x14ac:dyDescent="0.2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 x14ac:dyDescent="0.2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 x14ac:dyDescent="0.2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 x14ac:dyDescent="0.2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 x14ac:dyDescent="0.2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 x14ac:dyDescent="0.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 x14ac:dyDescent="0.2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 x14ac:dyDescent="0.2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 x14ac:dyDescent="0.2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 x14ac:dyDescent="0.2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 x14ac:dyDescent="0.2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 x14ac:dyDescent="0.2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 x14ac:dyDescent="0.2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 x14ac:dyDescent="0.2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 x14ac:dyDescent="0.2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 x14ac:dyDescent="0.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 x14ac:dyDescent="0.2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 x14ac:dyDescent="0.2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 x14ac:dyDescent="0.2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 x14ac:dyDescent="0.2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 x14ac:dyDescent="0.2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 x14ac:dyDescent="0.2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 x14ac:dyDescent="0.2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 x14ac:dyDescent="0.2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 x14ac:dyDescent="0.2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 x14ac:dyDescent="0.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 x14ac:dyDescent="0.2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 x14ac:dyDescent="0.2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 x14ac:dyDescent="0.2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 x14ac:dyDescent="0.2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 x14ac:dyDescent="0.2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 x14ac:dyDescent="0.2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 x14ac:dyDescent="0.2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 x14ac:dyDescent="0.2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 x14ac:dyDescent="0.2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 x14ac:dyDescent="0.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 x14ac:dyDescent="0.2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 x14ac:dyDescent="0.2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 x14ac:dyDescent="0.2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 x14ac:dyDescent="0.2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 x14ac:dyDescent="0.2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 x14ac:dyDescent="0.2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 x14ac:dyDescent="0.2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 x14ac:dyDescent="0.2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 x14ac:dyDescent="0.2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 x14ac:dyDescent="0.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 x14ac:dyDescent="0.2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 x14ac:dyDescent="0.2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 x14ac:dyDescent="0.2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 x14ac:dyDescent="0.2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 x14ac:dyDescent="0.2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 x14ac:dyDescent="0.2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 x14ac:dyDescent="0.2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 x14ac:dyDescent="0.2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 x14ac:dyDescent="0.2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 x14ac:dyDescent="0.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 x14ac:dyDescent="0.2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 x14ac:dyDescent="0.2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 x14ac:dyDescent="0.2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 x14ac:dyDescent="0.2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 x14ac:dyDescent="0.2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 x14ac:dyDescent="0.2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 x14ac:dyDescent="0.2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 x14ac:dyDescent="0.2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 x14ac:dyDescent="0.2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 x14ac:dyDescent="0.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 x14ac:dyDescent="0.2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 x14ac:dyDescent="0.2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 x14ac:dyDescent="0.2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 x14ac:dyDescent="0.2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 x14ac:dyDescent="0.2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 x14ac:dyDescent="0.2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 x14ac:dyDescent="0.2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 x14ac:dyDescent="0.2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 x14ac:dyDescent="0.2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 x14ac:dyDescent="0.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 x14ac:dyDescent="0.2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 x14ac:dyDescent="0.2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 x14ac:dyDescent="0.2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 x14ac:dyDescent="0.2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 x14ac:dyDescent="0.2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 x14ac:dyDescent="0.2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 x14ac:dyDescent="0.2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 x14ac:dyDescent="0.2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 x14ac:dyDescent="0.2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 x14ac:dyDescent="0.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 x14ac:dyDescent="0.2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 x14ac:dyDescent="0.2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 x14ac:dyDescent="0.2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 x14ac:dyDescent="0.2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 x14ac:dyDescent="0.2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 x14ac:dyDescent="0.2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 x14ac:dyDescent="0.2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 x14ac:dyDescent="0.2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 x14ac:dyDescent="0.2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 x14ac:dyDescent="0.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 x14ac:dyDescent="0.2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 x14ac:dyDescent="0.2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 x14ac:dyDescent="0.2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 x14ac:dyDescent="0.2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 x14ac:dyDescent="0.2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 x14ac:dyDescent="0.2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 x14ac:dyDescent="0.2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 x14ac:dyDescent="0.2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 x14ac:dyDescent="0.2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 x14ac:dyDescent="0.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 x14ac:dyDescent="0.2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 x14ac:dyDescent="0.2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 x14ac:dyDescent="0.2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 x14ac:dyDescent="0.2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 x14ac:dyDescent="0.2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 x14ac:dyDescent="0.2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 x14ac:dyDescent="0.2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 x14ac:dyDescent="0.2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 x14ac:dyDescent="0.2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 x14ac:dyDescent="0.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 x14ac:dyDescent="0.2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 x14ac:dyDescent="0.2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 x14ac:dyDescent="0.2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 x14ac:dyDescent="0.2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 x14ac:dyDescent="0.2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 x14ac:dyDescent="0.2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 x14ac:dyDescent="0.2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 x14ac:dyDescent="0.2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 x14ac:dyDescent="0.2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 x14ac:dyDescent="0.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 x14ac:dyDescent="0.2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 x14ac:dyDescent="0.2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 x14ac:dyDescent="0.2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 x14ac:dyDescent="0.2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 x14ac:dyDescent="0.2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 x14ac:dyDescent="0.2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 x14ac:dyDescent="0.2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 x14ac:dyDescent="0.2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 x14ac:dyDescent="0.2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 x14ac:dyDescent="0.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 x14ac:dyDescent="0.2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 x14ac:dyDescent="0.2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 x14ac:dyDescent="0.2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 x14ac:dyDescent="0.2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 x14ac:dyDescent="0.2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 x14ac:dyDescent="0.2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 x14ac:dyDescent="0.2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 x14ac:dyDescent="0.2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 x14ac:dyDescent="0.2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 x14ac:dyDescent="0.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 x14ac:dyDescent="0.2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 x14ac:dyDescent="0.2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 x14ac:dyDescent="0.2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 x14ac:dyDescent="0.2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 x14ac:dyDescent="0.2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 x14ac:dyDescent="0.2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 x14ac:dyDescent="0.2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 x14ac:dyDescent="0.2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 x14ac:dyDescent="0.2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 x14ac:dyDescent="0.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 x14ac:dyDescent="0.2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 x14ac:dyDescent="0.2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 x14ac:dyDescent="0.2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 x14ac:dyDescent="0.2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 x14ac:dyDescent="0.2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 x14ac:dyDescent="0.2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 x14ac:dyDescent="0.2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 x14ac:dyDescent="0.2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 x14ac:dyDescent="0.2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 x14ac:dyDescent="0.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 x14ac:dyDescent="0.2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 x14ac:dyDescent="0.2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 x14ac:dyDescent="0.2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 x14ac:dyDescent="0.2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 x14ac:dyDescent="0.2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 x14ac:dyDescent="0.2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 x14ac:dyDescent="0.2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 x14ac:dyDescent="0.2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 x14ac:dyDescent="0.2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 x14ac:dyDescent="0.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 x14ac:dyDescent="0.2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 x14ac:dyDescent="0.2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 x14ac:dyDescent="0.2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 x14ac:dyDescent="0.2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 x14ac:dyDescent="0.2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 x14ac:dyDescent="0.2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 x14ac:dyDescent="0.2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 x14ac:dyDescent="0.2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 x14ac:dyDescent="0.2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 x14ac:dyDescent="0.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 x14ac:dyDescent="0.2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 x14ac:dyDescent="0.2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 x14ac:dyDescent="0.2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 x14ac:dyDescent="0.2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 x14ac:dyDescent="0.2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 x14ac:dyDescent="0.2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 x14ac:dyDescent="0.2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 x14ac:dyDescent="0.2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 x14ac:dyDescent="0.2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 x14ac:dyDescent="0.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 x14ac:dyDescent="0.2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 x14ac:dyDescent="0.2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 x14ac:dyDescent="0.2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 x14ac:dyDescent="0.2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 x14ac:dyDescent="0.2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 x14ac:dyDescent="0.2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 x14ac:dyDescent="0.2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 x14ac:dyDescent="0.2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 x14ac:dyDescent="0.2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 x14ac:dyDescent="0.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 x14ac:dyDescent="0.2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 x14ac:dyDescent="0.2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 x14ac:dyDescent="0.2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 x14ac:dyDescent="0.2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 x14ac:dyDescent="0.2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 x14ac:dyDescent="0.2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 x14ac:dyDescent="0.2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 x14ac:dyDescent="0.2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 x14ac:dyDescent="0.2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 x14ac:dyDescent="0.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 x14ac:dyDescent="0.2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 x14ac:dyDescent="0.2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 x14ac:dyDescent="0.2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 x14ac:dyDescent="0.2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 x14ac:dyDescent="0.2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 x14ac:dyDescent="0.2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 x14ac:dyDescent="0.2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 x14ac:dyDescent="0.2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 x14ac:dyDescent="0.2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 x14ac:dyDescent="0.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 x14ac:dyDescent="0.2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 x14ac:dyDescent="0.2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 x14ac:dyDescent="0.2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 x14ac:dyDescent="0.2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 x14ac:dyDescent="0.2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 x14ac:dyDescent="0.2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 x14ac:dyDescent="0.2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 x14ac:dyDescent="0.2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 x14ac:dyDescent="0.2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 x14ac:dyDescent="0.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 x14ac:dyDescent="0.2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 x14ac:dyDescent="0.2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 x14ac:dyDescent="0.2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 x14ac:dyDescent="0.2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 x14ac:dyDescent="0.2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 x14ac:dyDescent="0.2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 x14ac:dyDescent="0.2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 x14ac:dyDescent="0.2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 x14ac:dyDescent="0.2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 x14ac:dyDescent="0.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 x14ac:dyDescent="0.2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 x14ac:dyDescent="0.2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 x14ac:dyDescent="0.2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 x14ac:dyDescent="0.2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 x14ac:dyDescent="0.2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 x14ac:dyDescent="0.2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 x14ac:dyDescent="0.2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 x14ac:dyDescent="0.2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 x14ac:dyDescent="0.2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 x14ac:dyDescent="0.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 x14ac:dyDescent="0.2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 x14ac:dyDescent="0.2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 x14ac:dyDescent="0.2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 x14ac:dyDescent="0.2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 x14ac:dyDescent="0.2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 x14ac:dyDescent="0.2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 x14ac:dyDescent="0.2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 x14ac:dyDescent="0.2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 x14ac:dyDescent="0.2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 x14ac:dyDescent="0.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 x14ac:dyDescent="0.2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 x14ac:dyDescent="0.2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 x14ac:dyDescent="0.2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 x14ac:dyDescent="0.2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 x14ac:dyDescent="0.2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 x14ac:dyDescent="0.2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 x14ac:dyDescent="0.2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 x14ac:dyDescent="0.2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 x14ac:dyDescent="0.2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 x14ac:dyDescent="0.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 x14ac:dyDescent="0.2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 x14ac:dyDescent="0.2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 x14ac:dyDescent="0.2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 x14ac:dyDescent="0.2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 x14ac:dyDescent="0.2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 x14ac:dyDescent="0.2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 x14ac:dyDescent="0.2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 x14ac:dyDescent="0.2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 x14ac:dyDescent="0.2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 x14ac:dyDescent="0.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 x14ac:dyDescent="0.2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 x14ac:dyDescent="0.2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 x14ac:dyDescent="0.2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 x14ac:dyDescent="0.2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 x14ac:dyDescent="0.2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 x14ac:dyDescent="0.2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 x14ac:dyDescent="0.2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 x14ac:dyDescent="0.2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 x14ac:dyDescent="0.2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 x14ac:dyDescent="0.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 x14ac:dyDescent="0.2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 x14ac:dyDescent="0.2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 x14ac:dyDescent="0.2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 x14ac:dyDescent="0.2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 x14ac:dyDescent="0.2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 x14ac:dyDescent="0.2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 x14ac:dyDescent="0.2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 x14ac:dyDescent="0.2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 x14ac:dyDescent="0.2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 x14ac:dyDescent="0.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 x14ac:dyDescent="0.2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 x14ac:dyDescent="0.2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 x14ac:dyDescent="0.2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 x14ac:dyDescent="0.2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 x14ac:dyDescent="0.2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 x14ac:dyDescent="0.2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 x14ac:dyDescent="0.2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 x14ac:dyDescent="0.2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 x14ac:dyDescent="0.2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 x14ac:dyDescent="0.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 x14ac:dyDescent="0.2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 x14ac:dyDescent="0.2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 x14ac:dyDescent="0.2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 x14ac:dyDescent="0.2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 x14ac:dyDescent="0.2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 x14ac:dyDescent="0.2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 x14ac:dyDescent="0.2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 x14ac:dyDescent="0.2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 x14ac:dyDescent="0.2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 x14ac:dyDescent="0.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 x14ac:dyDescent="0.2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 x14ac:dyDescent="0.2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 x14ac:dyDescent="0.2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 x14ac:dyDescent="0.2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 x14ac:dyDescent="0.2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 x14ac:dyDescent="0.2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 x14ac:dyDescent="0.2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 x14ac:dyDescent="0.2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 x14ac:dyDescent="0.2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 x14ac:dyDescent="0.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 x14ac:dyDescent="0.2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 x14ac:dyDescent="0.2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 x14ac:dyDescent="0.2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 x14ac:dyDescent="0.2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 x14ac:dyDescent="0.2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 x14ac:dyDescent="0.2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 x14ac:dyDescent="0.2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 x14ac:dyDescent="0.2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 x14ac:dyDescent="0.2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 x14ac:dyDescent="0.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 x14ac:dyDescent="0.2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 x14ac:dyDescent="0.2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 x14ac:dyDescent="0.2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 x14ac:dyDescent="0.2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 x14ac:dyDescent="0.2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 x14ac:dyDescent="0.2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 x14ac:dyDescent="0.2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 x14ac:dyDescent="0.2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 x14ac:dyDescent="0.2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 x14ac:dyDescent="0.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 x14ac:dyDescent="0.2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 x14ac:dyDescent="0.2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 x14ac:dyDescent="0.2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 x14ac:dyDescent="0.2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 x14ac:dyDescent="0.2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 x14ac:dyDescent="0.2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 x14ac:dyDescent="0.2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 x14ac:dyDescent="0.2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 x14ac:dyDescent="0.2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 x14ac:dyDescent="0.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 x14ac:dyDescent="0.2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 x14ac:dyDescent="0.2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 x14ac:dyDescent="0.2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 x14ac:dyDescent="0.2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 x14ac:dyDescent="0.2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 x14ac:dyDescent="0.2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 x14ac:dyDescent="0.2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 x14ac:dyDescent="0.2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 x14ac:dyDescent="0.2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 x14ac:dyDescent="0.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 x14ac:dyDescent="0.2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 x14ac:dyDescent="0.2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 x14ac:dyDescent="0.2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 x14ac:dyDescent="0.2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 x14ac:dyDescent="0.2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 x14ac:dyDescent="0.2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 x14ac:dyDescent="0.2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 x14ac:dyDescent="0.2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 x14ac:dyDescent="0.2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 x14ac:dyDescent="0.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 x14ac:dyDescent="0.2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 x14ac:dyDescent="0.2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 x14ac:dyDescent="0.2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 x14ac:dyDescent="0.2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 x14ac:dyDescent="0.2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 x14ac:dyDescent="0.2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 x14ac:dyDescent="0.2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 x14ac:dyDescent="0.2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 x14ac:dyDescent="0.2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 x14ac:dyDescent="0.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 x14ac:dyDescent="0.2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 x14ac:dyDescent="0.2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 x14ac:dyDescent="0.2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 x14ac:dyDescent="0.2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 x14ac:dyDescent="0.2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 x14ac:dyDescent="0.2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 x14ac:dyDescent="0.2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 x14ac:dyDescent="0.2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 x14ac:dyDescent="0.2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 x14ac:dyDescent="0.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 x14ac:dyDescent="0.2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 x14ac:dyDescent="0.2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 x14ac:dyDescent="0.2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 x14ac:dyDescent="0.2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 x14ac:dyDescent="0.2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 x14ac:dyDescent="0.2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 x14ac:dyDescent="0.2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 x14ac:dyDescent="0.2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 x14ac:dyDescent="0.2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 x14ac:dyDescent="0.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 x14ac:dyDescent="0.2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 x14ac:dyDescent="0.2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 x14ac:dyDescent="0.2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 x14ac:dyDescent="0.2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 x14ac:dyDescent="0.2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 x14ac:dyDescent="0.2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 x14ac:dyDescent="0.2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 x14ac:dyDescent="0.2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 x14ac:dyDescent="0.2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 x14ac:dyDescent="0.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 x14ac:dyDescent="0.2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 x14ac:dyDescent="0.2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 x14ac:dyDescent="0.2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 x14ac:dyDescent="0.2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 x14ac:dyDescent="0.2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 x14ac:dyDescent="0.2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 x14ac:dyDescent="0.2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 x14ac:dyDescent="0.2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 x14ac:dyDescent="0.2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 x14ac:dyDescent="0.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 x14ac:dyDescent="0.2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 x14ac:dyDescent="0.2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 x14ac:dyDescent="0.2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 x14ac:dyDescent="0.2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 x14ac:dyDescent="0.2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 x14ac:dyDescent="0.2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 x14ac:dyDescent="0.2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 x14ac:dyDescent="0.2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 x14ac:dyDescent="0.2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 x14ac:dyDescent="0.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 x14ac:dyDescent="0.2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 x14ac:dyDescent="0.2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 x14ac:dyDescent="0.2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 x14ac:dyDescent="0.2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 x14ac:dyDescent="0.2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 x14ac:dyDescent="0.2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 x14ac:dyDescent="0.2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 x14ac:dyDescent="0.2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 x14ac:dyDescent="0.2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 x14ac:dyDescent="0.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 x14ac:dyDescent="0.2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 x14ac:dyDescent="0.2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 x14ac:dyDescent="0.2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 x14ac:dyDescent="0.2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 x14ac:dyDescent="0.2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 x14ac:dyDescent="0.2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 x14ac:dyDescent="0.2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 x14ac:dyDescent="0.2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 x14ac:dyDescent="0.2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 x14ac:dyDescent="0.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 x14ac:dyDescent="0.2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 x14ac:dyDescent="0.2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 x14ac:dyDescent="0.2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 x14ac:dyDescent="0.2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 x14ac:dyDescent="0.2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 x14ac:dyDescent="0.2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 x14ac:dyDescent="0.2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 x14ac:dyDescent="0.2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 x14ac:dyDescent="0.2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 x14ac:dyDescent="0.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 x14ac:dyDescent="0.2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 x14ac:dyDescent="0.2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 x14ac:dyDescent="0.2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 x14ac:dyDescent="0.2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 x14ac:dyDescent="0.2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 x14ac:dyDescent="0.2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 x14ac:dyDescent="0.2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 x14ac:dyDescent="0.2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 x14ac:dyDescent="0.2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 x14ac:dyDescent="0.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 x14ac:dyDescent="0.2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 x14ac:dyDescent="0.2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 x14ac:dyDescent="0.2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 x14ac:dyDescent="0.2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 x14ac:dyDescent="0.2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 x14ac:dyDescent="0.2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 x14ac:dyDescent="0.2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 x14ac:dyDescent="0.2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 x14ac:dyDescent="0.2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 x14ac:dyDescent="0.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 x14ac:dyDescent="0.2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 x14ac:dyDescent="0.2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 x14ac:dyDescent="0.2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 x14ac:dyDescent="0.2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 x14ac:dyDescent="0.2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 x14ac:dyDescent="0.2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 x14ac:dyDescent="0.2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 x14ac:dyDescent="0.2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 x14ac:dyDescent="0.2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 x14ac:dyDescent="0.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 x14ac:dyDescent="0.2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 x14ac:dyDescent="0.2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 x14ac:dyDescent="0.2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 x14ac:dyDescent="0.2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 x14ac:dyDescent="0.2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 x14ac:dyDescent="0.2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 x14ac:dyDescent="0.2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 x14ac:dyDescent="0.2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 x14ac:dyDescent="0.2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 x14ac:dyDescent="0.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 x14ac:dyDescent="0.2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 x14ac:dyDescent="0.2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 x14ac:dyDescent="0.2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 x14ac:dyDescent="0.2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 x14ac:dyDescent="0.2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 x14ac:dyDescent="0.2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 x14ac:dyDescent="0.2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 x14ac:dyDescent="0.2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 x14ac:dyDescent="0.2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 x14ac:dyDescent="0.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 x14ac:dyDescent="0.2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 x14ac:dyDescent="0.2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 x14ac:dyDescent="0.2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 x14ac:dyDescent="0.2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 x14ac:dyDescent="0.2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 x14ac:dyDescent="0.2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 x14ac:dyDescent="0.2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 x14ac:dyDescent="0.2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 x14ac:dyDescent="0.2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 x14ac:dyDescent="0.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 x14ac:dyDescent="0.2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 x14ac:dyDescent="0.2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 x14ac:dyDescent="0.2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 x14ac:dyDescent="0.2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 x14ac:dyDescent="0.2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 x14ac:dyDescent="0.2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 x14ac:dyDescent="0.2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 x14ac:dyDescent="0.2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 x14ac:dyDescent="0.2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 x14ac:dyDescent="0.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 x14ac:dyDescent="0.2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 x14ac:dyDescent="0.2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 x14ac:dyDescent="0.2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 x14ac:dyDescent="0.2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 x14ac:dyDescent="0.2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 x14ac:dyDescent="0.2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 x14ac:dyDescent="0.2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 x14ac:dyDescent="0.2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 x14ac:dyDescent="0.2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 x14ac:dyDescent="0.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 x14ac:dyDescent="0.2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 x14ac:dyDescent="0.2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 x14ac:dyDescent="0.2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 x14ac:dyDescent="0.2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 x14ac:dyDescent="0.2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 x14ac:dyDescent="0.2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 x14ac:dyDescent="0.2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 x14ac:dyDescent="0.2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 x14ac:dyDescent="0.2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 x14ac:dyDescent="0.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 x14ac:dyDescent="0.2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 x14ac:dyDescent="0.2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 x14ac:dyDescent="0.2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 x14ac:dyDescent="0.2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 x14ac:dyDescent="0.2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 x14ac:dyDescent="0.2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 x14ac:dyDescent="0.2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 x14ac:dyDescent="0.2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 x14ac:dyDescent="0.2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 x14ac:dyDescent="0.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 x14ac:dyDescent="0.2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 x14ac:dyDescent="0.2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 x14ac:dyDescent="0.2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 x14ac:dyDescent="0.2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 x14ac:dyDescent="0.2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 x14ac:dyDescent="0.2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 x14ac:dyDescent="0.2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 x14ac:dyDescent="0.2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 x14ac:dyDescent="0.2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 x14ac:dyDescent="0.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 x14ac:dyDescent="0.2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 x14ac:dyDescent="0.2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 x14ac:dyDescent="0.2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 x14ac:dyDescent="0.2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 x14ac:dyDescent="0.2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 x14ac:dyDescent="0.2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 x14ac:dyDescent="0.2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 x14ac:dyDescent="0.2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 x14ac:dyDescent="0.2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 x14ac:dyDescent="0.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 x14ac:dyDescent="0.2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 x14ac:dyDescent="0.2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 x14ac:dyDescent="0.2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 x14ac:dyDescent="0.2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 x14ac:dyDescent="0.2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 x14ac:dyDescent="0.2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 x14ac:dyDescent="0.2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 x14ac:dyDescent="0.2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 x14ac:dyDescent="0.2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 x14ac:dyDescent="0.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 x14ac:dyDescent="0.2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 x14ac:dyDescent="0.2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 x14ac:dyDescent="0.2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 x14ac:dyDescent="0.2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 x14ac:dyDescent="0.2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 x14ac:dyDescent="0.2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 x14ac:dyDescent="0.2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 x14ac:dyDescent="0.2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 x14ac:dyDescent="0.2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 x14ac:dyDescent="0.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 x14ac:dyDescent="0.2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 x14ac:dyDescent="0.2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 x14ac:dyDescent="0.2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 x14ac:dyDescent="0.2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 x14ac:dyDescent="0.2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 x14ac:dyDescent="0.2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 x14ac:dyDescent="0.2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</sheetData>
  <mergeCells count="15">
    <mergeCell ref="N1:O1"/>
    <mergeCell ref="B2:O2"/>
    <mergeCell ref="B4:M4"/>
    <mergeCell ref="N4:N22"/>
    <mergeCell ref="A23:A37"/>
    <mergeCell ref="B23:O24"/>
    <mergeCell ref="B25:H28"/>
    <mergeCell ref="I25:O25"/>
    <mergeCell ref="I26:O26"/>
    <mergeCell ref="I27:O35"/>
    <mergeCell ref="B29:H32"/>
    <mergeCell ref="B33:H35"/>
    <mergeCell ref="B36:H36"/>
    <mergeCell ref="B37:H37"/>
    <mergeCell ref="J37:N37"/>
  </mergeCells>
  <phoneticPr fontId="28" type="noConversion"/>
  <conditionalFormatting sqref="B21:B23 C22:D23 F22:M23 E23">
    <cfRule type="cellIs" dxfId="1" priority="1" operator="lessThan">
      <formula>0</formula>
    </cfRule>
  </conditionalFormatting>
  <conditionalFormatting sqref="C21:E21 G21:M21">
    <cfRule type="cellIs" dxfId="0" priority="2" operator="lessThan">
      <formula>0</formula>
    </cfRule>
  </conditionalFormatting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 розничный магазин</vt:lpstr>
      <vt:lpstr>Маркетплейс</vt:lpstr>
      <vt:lpstr>Фин.модель общая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Андрей</cp:lastModifiedBy>
  <dcterms:modified xsi:type="dcterms:W3CDTF">2023-04-13T06:56:14Z</dcterms:modified>
</cp:coreProperties>
</file>