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136" yWindow="-168" windowWidth="10116" windowHeight="6720" activeTab="7"/>
  </bookViews>
  <sheets>
    <sheet name="Итоги " sheetId="17" r:id="rId1"/>
    <sheet name="1. Доходы" sheetId="26" r:id="rId2"/>
    <sheet name="2. Хоз.расходы" sheetId="22" r:id="rId3"/>
    <sheet name="3. Штатное расписание" sheetId="21" r:id="rId4"/>
    <sheet name="4. Обслуживание установок" sheetId="25" r:id="rId5"/>
    <sheet name="5. Единоразовые вложения" sheetId="23" r:id="rId6"/>
    <sheet name="6. Вложения в оборудование" sheetId="27" r:id="rId7"/>
    <sheet name="Калькуляция установок" sheetId="24" r:id="rId8"/>
  </sheets>
  <definedNames>
    <definedName name="__xlnm._FilterDatabase_1">#REF!</definedName>
    <definedName name="__xlnm._FilterDatabase_1_1">#REF!</definedName>
  </definedNames>
  <calcPr calcId="125725"/>
</workbook>
</file>

<file path=xl/calcChain.xml><?xml version="1.0" encoding="utf-8"?>
<calcChain xmlns="http://schemas.openxmlformats.org/spreadsheetml/2006/main">
  <c r="R12" i="26"/>
  <c r="Q12"/>
  <c r="AB4" i="17" l="1"/>
  <c r="AH4"/>
  <c r="AN4"/>
  <c r="AB7"/>
  <c r="AH7"/>
  <c r="AN7"/>
  <c r="X13"/>
  <c r="AB13"/>
  <c r="AH13"/>
  <c r="AN13"/>
  <c r="AB14"/>
  <c r="AH14"/>
  <c r="AN14"/>
  <c r="AB15"/>
  <c r="AH15"/>
  <c r="AN15"/>
  <c r="D17" i="26"/>
  <c r="E17" s="1"/>
  <c r="D16"/>
  <c r="E16" s="1"/>
  <c r="E18" s="1"/>
  <c r="J24" i="21"/>
  <c r="B7" i="25"/>
  <c r="B8" s="1"/>
  <c r="B9" s="1"/>
  <c r="B10" s="1"/>
  <c r="B11" s="1"/>
  <c r="B12" s="1"/>
  <c r="D13"/>
  <c r="E18" i="24"/>
  <c r="E19" s="1"/>
  <c r="V7" i="17"/>
  <c r="V13"/>
  <c r="V14"/>
  <c r="V15"/>
  <c r="P4"/>
  <c r="P7"/>
  <c r="P12"/>
  <c r="P13"/>
  <c r="P14"/>
  <c r="P15"/>
  <c r="J4"/>
  <c r="J7"/>
  <c r="J12"/>
  <c r="J13"/>
  <c r="J14"/>
  <c r="J15"/>
  <c r="D21" i="25"/>
  <c r="N11" i="17" s="1"/>
  <c r="K5" i="26"/>
  <c r="L5"/>
  <c r="L11" s="1"/>
  <c r="J12" i="21"/>
  <c r="J11"/>
  <c r="D16" i="22"/>
  <c r="M6" i="26"/>
  <c r="N6" s="1"/>
  <c r="G6"/>
  <c r="P5"/>
  <c r="J5"/>
  <c r="J12" s="1"/>
  <c r="P11"/>
  <c r="L11" i="21"/>
  <c r="O11" s="1"/>
  <c r="P11"/>
  <c r="Q11" s="1"/>
  <c r="G8" i="17"/>
  <c r="R8"/>
  <c r="S8"/>
  <c r="M8"/>
  <c r="T8"/>
  <c r="J10" i="26"/>
  <c r="O25" i="21"/>
  <c r="O24"/>
  <c r="J25"/>
  <c r="P25"/>
  <c r="Q25" s="1"/>
  <c r="J26"/>
  <c r="O26" s="1"/>
  <c r="J27"/>
  <c r="J28"/>
  <c r="O28"/>
  <c r="AP5" i="27"/>
  <c r="AJ5"/>
  <c r="AD5"/>
  <c r="X5"/>
  <c r="AO6"/>
  <c r="AM16" i="17" s="1"/>
  <c r="AN6" i="27"/>
  <c r="AL16" i="17" s="1"/>
  <c r="AM6" i="27"/>
  <c r="AK16" i="17" s="1"/>
  <c r="AL6" i="27"/>
  <c r="AI6"/>
  <c r="AG16" i="17" s="1"/>
  <c r="AH6" i="27"/>
  <c r="AF16" i="17" s="1"/>
  <c r="AG6" i="27"/>
  <c r="AE16" i="17" s="1"/>
  <c r="AF6" i="27"/>
  <c r="AD16" i="17" s="1"/>
  <c r="AC6" i="27"/>
  <c r="AA16" i="17" s="1"/>
  <c r="AB6" i="27"/>
  <c r="Z16" i="17" s="1"/>
  <c r="AA6" i="27"/>
  <c r="Y16" i="17" s="1"/>
  <c r="Z6" i="27"/>
  <c r="W6"/>
  <c r="U16" i="17"/>
  <c r="V6" i="27"/>
  <c r="T16" i="17"/>
  <c r="U6" i="27"/>
  <c r="S16" i="17"/>
  <c r="T6" i="27"/>
  <c r="R16" i="17"/>
  <c r="P6" i="27"/>
  <c r="N16" i="17"/>
  <c r="O6" i="27"/>
  <c r="M16" i="17"/>
  <c r="N6" i="27"/>
  <c r="L16" i="17"/>
  <c r="J6" i="27"/>
  <c r="H16" i="17"/>
  <c r="I6" i="27"/>
  <c r="G16" i="17"/>
  <c r="J19" i="21"/>
  <c r="J20"/>
  <c r="O20" s="1"/>
  <c r="P20"/>
  <c r="Q20" s="1"/>
  <c r="J21"/>
  <c r="O21" s="1"/>
  <c r="P21"/>
  <c r="Q21" s="1"/>
  <c r="J22"/>
  <c r="O22" s="1"/>
  <c r="P22"/>
  <c r="Q22" s="1"/>
  <c r="J23"/>
  <c r="O23" s="1"/>
  <c r="P23"/>
  <c r="Q23" s="1"/>
  <c r="J18"/>
  <c r="D7" i="17"/>
  <c r="D14"/>
  <c r="D15"/>
  <c r="V16"/>
  <c r="P28" i="21"/>
  <c r="Q28" s="1"/>
  <c r="P26"/>
  <c r="Q26" s="1"/>
  <c r="P24"/>
  <c r="Q24" s="1"/>
  <c r="O19"/>
  <c r="P19" s="1"/>
  <c r="R6" i="27"/>
  <c r="X6"/>
  <c r="AJ6"/>
  <c r="F5" i="26"/>
  <c r="I5"/>
  <c r="E11"/>
  <c r="E12"/>
  <c r="B5" i="17" s="1"/>
  <c r="H6" i="26"/>
  <c r="I11"/>
  <c r="K11"/>
  <c r="F11"/>
  <c r="G11" s="1"/>
  <c r="H11"/>
  <c r="F10"/>
  <c r="E10"/>
  <c r="G5"/>
  <c r="H5" s="1"/>
  <c r="F12"/>
  <c r="C5" i="17" s="1"/>
  <c r="C3"/>
  <c r="G10" i="26"/>
  <c r="H10" s="1"/>
  <c r="Q19" i="21"/>
  <c r="J10"/>
  <c r="L10"/>
  <c r="I11" i="17"/>
  <c r="O11"/>
  <c r="H11"/>
  <c r="O10" i="21"/>
  <c r="P10" s="1"/>
  <c r="Q10" s="1"/>
  <c r="J11" i="17"/>
  <c r="V4"/>
  <c r="E7"/>
  <c r="E14"/>
  <c r="E15"/>
  <c r="D11"/>
  <c r="E11"/>
  <c r="K11" s="1"/>
  <c r="I8"/>
  <c r="F8"/>
  <c r="U8"/>
  <c r="V8"/>
  <c r="G12" i="26"/>
  <c r="H12"/>
  <c r="K7" i="17"/>
  <c r="Q7" s="1"/>
  <c r="W7" s="1"/>
  <c r="AC7" s="1"/>
  <c r="AI7" s="1"/>
  <c r="AO7" s="1"/>
  <c r="G5"/>
  <c r="G3" s="1"/>
  <c r="D5"/>
  <c r="E5"/>
  <c r="J14" i="21"/>
  <c r="O14"/>
  <c r="P14" s="1"/>
  <c r="Q14" s="1"/>
  <c r="K15" i="17"/>
  <c r="Q15"/>
  <c r="K14"/>
  <c r="Q14"/>
  <c r="W14" s="1"/>
  <c r="AC14" s="1"/>
  <c r="AI14" s="1"/>
  <c r="AO14" s="1"/>
  <c r="J13" i="21"/>
  <c r="J17"/>
  <c r="O17" s="1"/>
  <c r="P17" s="1"/>
  <c r="Q17" s="1"/>
  <c r="L13"/>
  <c r="O13"/>
  <c r="P13" s="1"/>
  <c r="Q13" s="1"/>
  <c r="J8"/>
  <c r="L8"/>
  <c r="O8" s="1"/>
  <c r="P8" s="1"/>
  <c r="Q8" s="1"/>
  <c r="J9"/>
  <c r="L9" s="1"/>
  <c r="D11" i="23"/>
  <c r="J8" i="24" s="1"/>
  <c r="A6" i="23"/>
  <c r="A7" s="1"/>
  <c r="A8"/>
  <c r="A9" s="1"/>
  <c r="A10" s="1"/>
  <c r="A6" i="22"/>
  <c r="A7"/>
  <c r="A8" s="1"/>
  <c r="A9"/>
  <c r="A10" s="1"/>
  <c r="A11" s="1"/>
  <c r="A12" s="1"/>
  <c r="J15" i="21"/>
  <c r="O15" s="1"/>
  <c r="J16"/>
  <c r="J7"/>
  <c r="J30" s="1"/>
  <c r="M30"/>
  <c r="F30"/>
  <c r="O9"/>
  <c r="L16"/>
  <c r="O16"/>
  <c r="P16" s="1"/>
  <c r="L7"/>
  <c r="Q16"/>
  <c r="W15" i="17"/>
  <c r="AC15"/>
  <c r="AI15" s="1"/>
  <c r="AO15" s="1"/>
  <c r="E20" i="24" l="1"/>
  <c r="E22" s="1"/>
  <c r="M11" i="26"/>
  <c r="N11" s="1"/>
  <c r="L10"/>
  <c r="O7" i="21"/>
  <c r="P15"/>
  <c r="Q15" s="1"/>
  <c r="P9"/>
  <c r="Q9" s="1"/>
  <c r="B13" i="17"/>
  <c r="D13" s="1"/>
  <c r="E13" s="1"/>
  <c r="K13" s="1"/>
  <c r="Q13" s="1"/>
  <c r="W13" s="1"/>
  <c r="AC13" s="1"/>
  <c r="AI13" s="1"/>
  <c r="AO13" s="1"/>
  <c r="O27" i="21"/>
  <c r="P27"/>
  <c r="Q27" s="1"/>
  <c r="P12" i="26"/>
  <c r="M5" i="17" s="1"/>
  <c r="M3" s="1"/>
  <c r="P10" i="26"/>
  <c r="L12"/>
  <c r="I5" i="17" s="1"/>
  <c r="I3" s="1"/>
  <c r="K12" i="26"/>
  <c r="H5" i="17" s="1"/>
  <c r="H3" s="1"/>
  <c r="K10" i="26"/>
  <c r="AG6"/>
  <c r="AH6"/>
  <c r="AH5" s="1"/>
  <c r="AI6"/>
  <c r="AI5" s="1"/>
  <c r="AJ6"/>
  <c r="AJ5" s="1"/>
  <c r="AB6"/>
  <c r="AB5" s="1"/>
  <c r="AD6"/>
  <c r="AD5" s="1"/>
  <c r="AM6"/>
  <c r="AO6"/>
  <c r="AO5" s="1"/>
  <c r="W6"/>
  <c r="W5" s="1"/>
  <c r="U6"/>
  <c r="R6"/>
  <c r="R5" s="1"/>
  <c r="Q6"/>
  <c r="Q5" s="1"/>
  <c r="AA6"/>
  <c r="AC6"/>
  <c r="AC5" s="1"/>
  <c r="AN6"/>
  <c r="AN5" s="1"/>
  <c r="AP6"/>
  <c r="AP5" s="1"/>
  <c r="X6"/>
  <c r="X5" s="1"/>
  <c r="V6"/>
  <c r="V5" s="1"/>
  <c r="I12"/>
  <c r="I10"/>
  <c r="M5"/>
  <c r="N5" s="1"/>
  <c r="P18" i="21"/>
  <c r="Q18" s="1"/>
  <c r="O18"/>
  <c r="X16" i="17"/>
  <c r="AB16" s="1"/>
  <c r="AD6" i="27"/>
  <c r="AH16" i="17"/>
  <c r="AP6" i="27"/>
  <c r="AJ16" i="17"/>
  <c r="AN16" s="1"/>
  <c r="Z8"/>
  <c r="AE8"/>
  <c r="AG8"/>
  <c r="AJ8"/>
  <c r="AL8"/>
  <c r="X8"/>
  <c r="AD8"/>
  <c r="AF8"/>
  <c r="AK8"/>
  <c r="AM8"/>
  <c r="B8"/>
  <c r="N8"/>
  <c r="L8"/>
  <c r="H8"/>
  <c r="J8" s="1"/>
  <c r="O8"/>
  <c r="Y8"/>
  <c r="AA8"/>
  <c r="J11" i="24"/>
  <c r="L12" i="21"/>
  <c r="O12" s="1"/>
  <c r="P12"/>
  <c r="Q12" s="1"/>
  <c r="C8" i="17"/>
  <c r="Z11"/>
  <c r="J9" i="24"/>
  <c r="L11" i="17"/>
  <c r="P11" s="1"/>
  <c r="Q11" s="1"/>
  <c r="M11"/>
  <c r="T11"/>
  <c r="AK11"/>
  <c r="X11"/>
  <c r="AD11"/>
  <c r="AF11"/>
  <c r="AA11"/>
  <c r="AE11"/>
  <c r="AM11"/>
  <c r="R11"/>
  <c r="V11" s="1"/>
  <c r="S11"/>
  <c r="U11"/>
  <c r="AG11"/>
  <c r="Y11"/>
  <c r="AL11"/>
  <c r="AJ11"/>
  <c r="AN11" s="1"/>
  <c r="J6" i="24" l="1"/>
  <c r="C5" i="27"/>
  <c r="E5" s="1"/>
  <c r="E6" s="1"/>
  <c r="C16" i="17" s="1"/>
  <c r="M10" i="26"/>
  <c r="N10" s="1"/>
  <c r="W11" i="17"/>
  <c r="AH11"/>
  <c r="P8"/>
  <c r="D8"/>
  <c r="E8" s="1"/>
  <c r="K8" s="1"/>
  <c r="AH8"/>
  <c r="M12" i="26"/>
  <c r="N12" s="1"/>
  <c r="F5" i="17"/>
  <c r="X11" i="26"/>
  <c r="X12" s="1"/>
  <c r="U5" i="17" s="1"/>
  <c r="U3" s="1"/>
  <c r="X10" i="26"/>
  <c r="AN12"/>
  <c r="AK5" i="17" s="1"/>
  <c r="AK3" s="1"/>
  <c r="AN11" i="26"/>
  <c r="AN10"/>
  <c r="AA5"/>
  <c r="AE6"/>
  <c r="S6"/>
  <c r="T6" s="1"/>
  <c r="O5"/>
  <c r="U5"/>
  <c r="Y6"/>
  <c r="AO11"/>
  <c r="AO12" s="1"/>
  <c r="AL5" i="17" s="1"/>
  <c r="AL3" s="1"/>
  <c r="AO10" i="26"/>
  <c r="AD12"/>
  <c r="AA5" i="17" s="1"/>
  <c r="AA3" s="1"/>
  <c r="AD11" i="26"/>
  <c r="AD10"/>
  <c r="AJ11"/>
  <c r="AJ12"/>
  <c r="AG5" i="17" s="1"/>
  <c r="AG3" s="1"/>
  <c r="AJ10" i="26"/>
  <c r="AH11"/>
  <c r="AH12" s="1"/>
  <c r="AE5" i="17" s="1"/>
  <c r="AE3" s="1"/>
  <c r="AH10" i="26"/>
  <c r="H5" i="27"/>
  <c r="AB11" i="17"/>
  <c r="AB8"/>
  <c r="AN8"/>
  <c r="V10" i="26"/>
  <c r="V11"/>
  <c r="V12" s="1"/>
  <c r="S5" i="17" s="1"/>
  <c r="S3" s="1"/>
  <c r="AP11" i="26"/>
  <c r="AP12" s="1"/>
  <c r="AM5" i="17" s="1"/>
  <c r="AM3" s="1"/>
  <c r="AP10" i="26"/>
  <c r="AC12"/>
  <c r="Z5" i="17" s="1"/>
  <c r="Z3" s="1"/>
  <c r="AC11" i="26"/>
  <c r="AC10"/>
  <c r="Q10"/>
  <c r="Q11"/>
  <c r="N5" i="17" s="1"/>
  <c r="N3" s="1"/>
  <c r="O5"/>
  <c r="O3" s="1"/>
  <c r="R11" i="26"/>
  <c r="R10"/>
  <c r="W11"/>
  <c r="W12"/>
  <c r="T5" i="17" s="1"/>
  <c r="T3" s="1"/>
  <c r="W10" i="26"/>
  <c r="AM5"/>
  <c r="AQ6"/>
  <c r="AB10"/>
  <c r="AB11"/>
  <c r="AB12" s="1"/>
  <c r="Y5" i="17" s="1"/>
  <c r="Y3" s="1"/>
  <c r="AI11" i="26"/>
  <c r="AI12"/>
  <c r="AF5" i="17" s="1"/>
  <c r="AF3" s="1"/>
  <c r="AI10" i="26"/>
  <c r="AG5"/>
  <c r="AK6"/>
  <c r="L30" i="21"/>
  <c r="Z12" i="17"/>
  <c r="AJ12"/>
  <c r="AL12"/>
  <c r="Y12"/>
  <c r="AG12"/>
  <c r="AK12"/>
  <c r="X12"/>
  <c r="AD12"/>
  <c r="AF12"/>
  <c r="AE12"/>
  <c r="AM12"/>
  <c r="T12"/>
  <c r="R12"/>
  <c r="AA12"/>
  <c r="U12"/>
  <c r="S12"/>
  <c r="O30" i="21"/>
  <c r="P7"/>
  <c r="C6" i="27" l="1"/>
  <c r="D5"/>
  <c r="D6" s="1"/>
  <c r="Q5"/>
  <c r="R5" s="1"/>
  <c r="D6" i="26"/>
  <c r="D5" s="1"/>
  <c r="K5" i="27"/>
  <c r="K6" s="1"/>
  <c r="I16" i="17" s="1"/>
  <c r="V12"/>
  <c r="W12" s="1"/>
  <c r="AB12"/>
  <c r="Z6" i="26"/>
  <c r="P30" i="21"/>
  <c r="Q7"/>
  <c r="Q30" s="1"/>
  <c r="AH12" i="17"/>
  <c r="AN12"/>
  <c r="L5" i="27"/>
  <c r="H6"/>
  <c r="U11" i="26"/>
  <c r="Y11" s="1"/>
  <c r="U10"/>
  <c r="Y10" s="1"/>
  <c r="U12"/>
  <c r="Y5"/>
  <c r="AA12"/>
  <c r="AA11"/>
  <c r="AE11" s="1"/>
  <c r="AA10"/>
  <c r="AE10" s="1"/>
  <c r="AE5"/>
  <c r="Q8" i="17"/>
  <c r="W8" s="1"/>
  <c r="AC8" s="1"/>
  <c r="AC11"/>
  <c r="AI11" s="1"/>
  <c r="AO11" s="1"/>
  <c r="AG11" i="26"/>
  <c r="AK11" s="1"/>
  <c r="AG10"/>
  <c r="AK10" s="1"/>
  <c r="AG12"/>
  <c r="AK5"/>
  <c r="AQ5"/>
  <c r="AM11"/>
  <c r="AQ11" s="1"/>
  <c r="AM10"/>
  <c r="AQ10" s="1"/>
  <c r="S5"/>
  <c r="T5" s="1"/>
  <c r="O11"/>
  <c r="S11" s="1"/>
  <c r="T11" s="1"/>
  <c r="O10"/>
  <c r="S10" s="1"/>
  <c r="T10" s="1"/>
  <c r="AF6"/>
  <c r="AL6" s="1"/>
  <c r="AR6" s="1"/>
  <c r="F3" i="17"/>
  <c r="J5"/>
  <c r="K5" s="1"/>
  <c r="AI8"/>
  <c r="AO8" s="1"/>
  <c r="Q6" i="27" l="1"/>
  <c r="O16" i="17" s="1"/>
  <c r="P16" s="1"/>
  <c r="F5" i="27"/>
  <c r="G5" s="1"/>
  <c r="AC12" i="17"/>
  <c r="AI12" s="1"/>
  <c r="AO12" s="1"/>
  <c r="J3"/>
  <c r="O12" i="26"/>
  <c r="AM12"/>
  <c r="AD5" i="17"/>
  <c r="AK12" i="26"/>
  <c r="Z5"/>
  <c r="AF5" s="1"/>
  <c r="AL5" s="1"/>
  <c r="AR5" s="1"/>
  <c r="Z10"/>
  <c r="F6" i="27"/>
  <c r="G6" s="1"/>
  <c r="B16" i="17"/>
  <c r="D16" s="1"/>
  <c r="E16" s="1"/>
  <c r="L6" i="27"/>
  <c r="F16" i="17"/>
  <c r="J16" s="1"/>
  <c r="X9"/>
  <c r="AD9"/>
  <c r="AF9"/>
  <c r="AA9"/>
  <c r="AE9"/>
  <c r="AM9"/>
  <c r="Z9"/>
  <c r="AK9"/>
  <c r="AJ9"/>
  <c r="AL9"/>
  <c r="Y9"/>
  <c r="AG9"/>
  <c r="P32" i="21"/>
  <c r="J10" i="24" s="1"/>
  <c r="J12" s="1"/>
  <c r="B4" i="17" s="1"/>
  <c r="R9"/>
  <c r="L9"/>
  <c r="F9"/>
  <c r="U9"/>
  <c r="O9"/>
  <c r="I9"/>
  <c r="B9"/>
  <c r="T9"/>
  <c r="N9"/>
  <c r="H9"/>
  <c r="C9"/>
  <c r="S9"/>
  <c r="M9"/>
  <c r="G9"/>
  <c r="AE15" i="26"/>
  <c r="AF10"/>
  <c r="AL10" s="1"/>
  <c r="AR10" s="1"/>
  <c r="X5" i="17"/>
  <c r="AE12" i="26"/>
  <c r="R5" i="17"/>
  <c r="Y12" i="26"/>
  <c r="Z11"/>
  <c r="AF11" s="1"/>
  <c r="AL11" s="1"/>
  <c r="AR11" s="1"/>
  <c r="M5" i="27"/>
  <c r="S5" s="1"/>
  <c r="Y5" s="1"/>
  <c r="AE5" s="1"/>
  <c r="AK5" s="1"/>
  <c r="AQ5" s="1"/>
  <c r="K16" i="17" l="1"/>
  <c r="Q16" s="1"/>
  <c r="W16" s="1"/>
  <c r="AC16" s="1"/>
  <c r="AI16" s="1"/>
  <c r="AO16" s="1"/>
  <c r="M6" i="27"/>
  <c r="S6" s="1"/>
  <c r="Y6" s="1"/>
  <c r="AE6" s="1"/>
  <c r="AK6" s="1"/>
  <c r="AQ6" s="1"/>
  <c r="M10" i="17"/>
  <c r="M6" s="1"/>
  <c r="M17" s="1"/>
  <c r="V5"/>
  <c r="R3"/>
  <c r="X3"/>
  <c r="AB5"/>
  <c r="G10"/>
  <c r="G6" s="1"/>
  <c r="G17" s="1"/>
  <c r="S10"/>
  <c r="S6" s="1"/>
  <c r="S17" s="1"/>
  <c r="H10"/>
  <c r="H6"/>
  <c r="H17" s="1"/>
  <c r="T10"/>
  <c r="T6"/>
  <c r="T17" s="1"/>
  <c r="I10"/>
  <c r="I6"/>
  <c r="I17" s="1"/>
  <c r="U10"/>
  <c r="U6"/>
  <c r="U17" s="1"/>
  <c r="P9"/>
  <c r="L10"/>
  <c r="L6" s="1"/>
  <c r="D4"/>
  <c r="E4" s="1"/>
  <c r="K4" s="1"/>
  <c r="Q4" s="1"/>
  <c r="W4" s="1"/>
  <c r="AC4" s="1"/>
  <c r="AI4" s="1"/>
  <c r="AO4" s="1"/>
  <c r="B3"/>
  <c r="Y10"/>
  <c r="Y6" s="1"/>
  <c r="Y17" s="1"/>
  <c r="AJ10"/>
  <c r="AN9"/>
  <c r="AJ6"/>
  <c r="Z10"/>
  <c r="Z6"/>
  <c r="Z17" s="1"/>
  <c r="AE10"/>
  <c r="AE6"/>
  <c r="AE17" s="1"/>
  <c r="AF10"/>
  <c r="AF6"/>
  <c r="AF17" s="1"/>
  <c r="AB9"/>
  <c r="X10"/>
  <c r="X6" s="1"/>
  <c r="AH5"/>
  <c r="AD3"/>
  <c r="C10"/>
  <c r="C6"/>
  <c r="C17" s="1"/>
  <c r="N10"/>
  <c r="N6"/>
  <c r="N17" s="1"/>
  <c r="D9"/>
  <c r="E9" s="1"/>
  <c r="B10"/>
  <c r="D10" s="1"/>
  <c r="E10" s="1"/>
  <c r="O10"/>
  <c r="O6" s="1"/>
  <c r="O17" s="1"/>
  <c r="F10"/>
  <c r="J10" s="1"/>
  <c r="K10" s="1"/>
  <c r="J9"/>
  <c r="K9" s="1"/>
  <c r="Q9" s="1"/>
  <c r="F6"/>
  <c r="R10"/>
  <c r="V10" s="1"/>
  <c r="R6"/>
  <c r="V9"/>
  <c r="AG10"/>
  <c r="AG6" s="1"/>
  <c r="AG17" s="1"/>
  <c r="AL10"/>
  <c r="AL6" s="1"/>
  <c r="AL17" s="1"/>
  <c r="AK10"/>
  <c r="AK6" s="1"/>
  <c r="AK17" s="1"/>
  <c r="AM10"/>
  <c r="AM6" s="1"/>
  <c r="AM17" s="1"/>
  <c r="AA10"/>
  <c r="AA6" s="1"/>
  <c r="AA17" s="1"/>
  <c r="AH9"/>
  <c r="AD10"/>
  <c r="AD6"/>
  <c r="AJ5"/>
  <c r="AQ12" i="26"/>
  <c r="S12"/>
  <c r="T12" s="1"/>
  <c r="Z12" s="1"/>
  <c r="AF12" s="1"/>
  <c r="AL12" s="1"/>
  <c r="L5" i="17"/>
  <c r="AB6" l="1"/>
  <c r="P6"/>
  <c r="AJ3"/>
  <c r="AN5"/>
  <c r="P5"/>
  <c r="Q5" s="1"/>
  <c r="W5" s="1"/>
  <c r="AC5" s="1"/>
  <c r="AI5" s="1"/>
  <c r="L3"/>
  <c r="AR12" i="26"/>
  <c r="AH10" i="17"/>
  <c r="W9"/>
  <c r="AC9" s="1"/>
  <c r="AI9" s="1"/>
  <c r="AO9" s="1"/>
  <c r="B6"/>
  <c r="B18" s="1"/>
  <c r="C18" s="1"/>
  <c r="D18" s="1"/>
  <c r="E18" s="1"/>
  <c r="F18" s="1"/>
  <c r="G18" s="1"/>
  <c r="H18" s="1"/>
  <c r="I18" s="1"/>
  <c r="J18" s="1"/>
  <c r="K18" s="1"/>
  <c r="AH3"/>
  <c r="AD17"/>
  <c r="AH17" s="1"/>
  <c r="D3"/>
  <c r="E3" s="1"/>
  <c r="K3" s="1"/>
  <c r="AB3"/>
  <c r="X17"/>
  <c r="AB17" s="1"/>
  <c r="AH6"/>
  <c r="V6"/>
  <c r="J6"/>
  <c r="F17"/>
  <c r="J17" s="1"/>
  <c r="AB10"/>
  <c r="AN6"/>
  <c r="AN10"/>
  <c r="P10"/>
  <c r="Q10" s="1"/>
  <c r="W10" s="1"/>
  <c r="AC10" s="1"/>
  <c r="V3"/>
  <c r="R17"/>
  <c r="V17" s="1"/>
  <c r="L18" l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B17"/>
  <c r="D17" s="1"/>
  <c r="E17" s="1"/>
  <c r="K17" s="1"/>
  <c r="D6"/>
  <c r="E6" s="1"/>
  <c r="K6" s="1"/>
  <c r="Q6" s="1"/>
  <c r="W6" s="1"/>
  <c r="AC6" s="1"/>
  <c r="AI6" s="1"/>
  <c r="AO6" s="1"/>
  <c r="AI10"/>
  <c r="AO10" s="1"/>
  <c r="P3"/>
  <c r="Q3" s="1"/>
  <c r="W3" s="1"/>
  <c r="AC3" s="1"/>
  <c r="AI3" s="1"/>
  <c r="L17"/>
  <c r="P17" s="1"/>
  <c r="AO5"/>
  <c r="AJ17"/>
  <c r="AN17" s="1"/>
  <c r="AN3"/>
  <c r="Q17" l="1"/>
  <c r="W17" s="1"/>
  <c r="AC17" s="1"/>
  <c r="AI17" s="1"/>
  <c r="AO17" s="1"/>
  <c r="AO3"/>
</calcChain>
</file>

<file path=xl/sharedStrings.xml><?xml version="1.0" encoding="utf-8"?>
<sst xmlns="http://schemas.openxmlformats.org/spreadsheetml/2006/main" count="290" uniqueCount="201">
  <si>
    <t>ДОХОДЫ , в том числе:</t>
  </si>
  <si>
    <t>РАСХОДЫ, в том числе:</t>
  </si>
  <si>
    <t>Командировочные расходы</t>
  </si>
  <si>
    <t>ИТОГО</t>
  </si>
  <si>
    <t>Клининговые услуги</t>
  </si>
  <si>
    <t>Страховые взносы 30,2%</t>
  </si>
  <si>
    <t>Полуэктов С.В.</t>
  </si>
  <si>
    <t>Арендная плата</t>
  </si>
  <si>
    <t>Расходы на хоз.материалы (канц.товары,картриджи и т.п.)</t>
  </si>
  <si>
    <t xml:space="preserve">наименование организации                     </t>
  </si>
  <si>
    <t>Количество рабочих дней в месяце</t>
  </si>
  <si>
    <t>Структурное подразделение</t>
  </si>
  <si>
    <t>Должность (специальность, профессия),  разряд, класс (категория) квалификации</t>
  </si>
  <si>
    <t>Количест-во штатных единиц</t>
  </si>
  <si>
    <t>Кол-во отработанных дней</t>
  </si>
  <si>
    <t>Тарифная ставка (оклад) и пр., руб.</t>
  </si>
  <si>
    <t>Начисления (оклад) за фактически отработанные дни, руб. (ст.7*ст.5/(кол.раб.дней в мес.)*ст.6)</t>
  </si>
  <si>
    <t xml:space="preserve"> Надбавка, руб.</t>
  </si>
  <si>
    <t>Премия</t>
  </si>
  <si>
    <t>Доплата за работу в комиссиях</t>
  </si>
  <si>
    <t xml:space="preserve">               Уральский коэффициент 0,15 руб. (ст.10+ст.11+ст.12)*0,15</t>
  </si>
  <si>
    <t xml:space="preserve">                                            Всего,       руб. (ст.8+ст.10+ст.11+ст.12+ст.13)</t>
  </si>
  <si>
    <t xml:space="preserve">                         На руки,   руб. (ст.14-ст.14*0,13)</t>
  </si>
  <si>
    <t>наименование подразделения</t>
  </si>
  <si>
    <t>код</t>
  </si>
  <si>
    <t>коэффициент</t>
  </si>
  <si>
    <t xml:space="preserve">надбавка, руб. (ст8*ст9.) </t>
  </si>
  <si>
    <t>Администрация</t>
  </si>
  <si>
    <t xml:space="preserve">Главный бухгалтер                                    </t>
  </si>
  <si>
    <t xml:space="preserve">Итого </t>
  </si>
  <si>
    <t>Консультант+, 1С</t>
  </si>
  <si>
    <t>Услуги связи (сот.тел, интернет, почта, курьерские услуги)</t>
  </si>
  <si>
    <t>Банковское обслуживание</t>
  </si>
  <si>
    <t>ФОТ с налогами</t>
  </si>
  <si>
    <t>Услуги натариуса</t>
  </si>
  <si>
    <t xml:space="preserve">Генеральный директор                                   </t>
  </si>
  <si>
    <t xml:space="preserve">Директор по развитию                           </t>
  </si>
  <si>
    <t>Кузовников В.Н.</t>
  </si>
  <si>
    <t>Секретарь</t>
  </si>
  <si>
    <t>Затраты на автомобиль(бензин, и т.д.)</t>
  </si>
  <si>
    <t>Расходы (приобретения)</t>
  </si>
  <si>
    <t>Мебель</t>
  </si>
  <si>
    <t>Стационарные телефоны</t>
  </si>
  <si>
    <t>Прочие расходы</t>
  </si>
  <si>
    <t>Компьютеры, оргтехника</t>
  </si>
  <si>
    <t>Экономист</t>
  </si>
  <si>
    <t>Автомобили (ГСМ, расходники, страховка)</t>
  </si>
  <si>
    <t>Завхоз</t>
  </si>
  <si>
    <t>Представительские расходы</t>
  </si>
  <si>
    <t>Юридическое обслуживание</t>
  </si>
  <si>
    <t>Обслуживание компьютеров, огтехники</t>
  </si>
  <si>
    <t>Механик - водитель</t>
  </si>
  <si>
    <t>Проектные работы (ПГР, ПКД)</t>
  </si>
  <si>
    <t>Автомобили</t>
  </si>
  <si>
    <t>Сумма с НДС</t>
  </si>
  <si>
    <t>Остаток в кассе (ОДС) с НДС</t>
  </si>
  <si>
    <t>На конец 2023 г.</t>
  </si>
  <si>
    <t>На конец 2024 г.</t>
  </si>
  <si>
    <t>3-й квартал 2023 г.</t>
  </si>
  <si>
    <t>4-й квартал 2023 г.</t>
  </si>
  <si>
    <t>1-й квартал 2024 г.</t>
  </si>
  <si>
    <t>2-й квартал 2024 г.</t>
  </si>
  <si>
    <t>3-й квартал 2024 г.</t>
  </si>
  <si>
    <t>4-й квартал 2024 г.</t>
  </si>
  <si>
    <t xml:space="preserve"> Хозрасходы по данным бухгалтерского учета в месяц</t>
  </si>
  <si>
    <t>Питание (20 чел.*500 руб.*30 дней)</t>
  </si>
  <si>
    <t>Спецодежда (20*1000)</t>
  </si>
  <si>
    <t>Прачечная, баня (20*500)</t>
  </si>
  <si>
    <t xml:space="preserve"> За 2023 г.</t>
  </si>
  <si>
    <t xml:space="preserve"> За 2024 г.</t>
  </si>
  <si>
    <t xml:space="preserve">Проектные работы (срок - 8-9 месяцев)
      (стоимость уточняется после выполнения п. 1.2.)    
</t>
  </si>
  <si>
    <t>ИТОГО:</t>
  </si>
  <si>
    <t>Стоимость</t>
  </si>
  <si>
    <t>Инвестистиции (см. прил.№1)</t>
  </si>
  <si>
    <t>Хоз. расходы  (см. прил.№2)</t>
  </si>
  <si>
    <t>ФОТ (см. прил №3)</t>
  </si>
  <si>
    <t>Единоразовые вложения (см. прил №5)</t>
  </si>
  <si>
    <t>Изготовление установок,  вложения в оборудование (см. прил.№6)</t>
  </si>
  <si>
    <t>Проектно-конструкторский отдел</t>
  </si>
  <si>
    <t>Отдел заказчика</t>
  </si>
  <si>
    <t>Начальник отдела</t>
  </si>
  <si>
    <t>Доходы от реализации на промплощадках</t>
  </si>
  <si>
    <t>Инвестистиции, руб.</t>
  </si>
  <si>
    <t>Промплощадка</t>
  </si>
  <si>
    <t>итого:</t>
  </si>
  <si>
    <t>Изготовление установок,  вложения в оборудование</t>
  </si>
  <si>
    <t>Инвестистиции в оборудование, руб.</t>
  </si>
  <si>
    <t>Консультант</t>
  </si>
  <si>
    <t>Служба безопаснсти. Отдел экономической безопасности</t>
  </si>
  <si>
    <t>Отчисления владельцу территории</t>
  </si>
  <si>
    <t>Оплата по договору № 2-11/17 от 15 ноября 2017 г.
на эксплуатацию МОК и технологическое
сопровождение 10%</t>
  </si>
  <si>
    <t>* аванс по договору № 2-11/17 вычтен, расчет с владельцем территории произведен см.прил.№1</t>
  </si>
  <si>
    <t xml:space="preserve">Накладные расходы на обслуживание установок (эксплуатационные расходы) (см. прил №4) </t>
  </si>
  <si>
    <t>Расчеты с партнерами (дольщиками)</t>
  </si>
  <si>
    <t>Софт (Windows, office, Консультант+, 1С, SolidEdge (SolidWorks или подобные)</t>
  </si>
  <si>
    <t>Директор финансового департамента.</t>
  </si>
  <si>
    <t xml:space="preserve"> За 2025 г.</t>
  </si>
  <si>
    <t>На конец 2025 г.</t>
  </si>
  <si>
    <t>1-й квартал 2025 г.</t>
  </si>
  <si>
    <t>2-й квартал 2025 г.</t>
  </si>
  <si>
    <t>3-й квартал 2025 г.</t>
  </si>
  <si>
    <t>4-й квартал 2025 г.</t>
  </si>
  <si>
    <t>1.1.</t>
  </si>
  <si>
    <t>1.2.</t>
  </si>
  <si>
    <t>1.3.</t>
  </si>
  <si>
    <t>1.3.1.</t>
  </si>
  <si>
    <t>1.3.2.</t>
  </si>
  <si>
    <t>1.3.3.</t>
  </si>
  <si>
    <t>1.3.4.</t>
  </si>
  <si>
    <t>2.1.</t>
  </si>
  <si>
    <t>2.2.</t>
  </si>
  <si>
    <t>2.3.</t>
  </si>
  <si>
    <t>2.5.</t>
  </si>
  <si>
    <t>2.6.</t>
  </si>
  <si>
    <t xml:space="preserve">Предпроектное обследование, работа с фондами, геологическими материалами на объекте.   </t>
  </si>
  <si>
    <t>Геомеханическое обоснование отработки шламов;</t>
  </si>
  <si>
    <t>План отработки техногенного образования;</t>
  </si>
  <si>
    <t>Технология рудоподготовки и переработки шламов;</t>
  </si>
  <si>
    <t xml:space="preserve">Декларация промышленной безопасности.
 </t>
  </si>
  <si>
    <t xml:space="preserve"> Затраты на проектные работы и приобретение (изготовление) производственного оборудования </t>
  </si>
  <si>
    <t>Сумма:</t>
  </si>
  <si>
    <t>№</t>
  </si>
  <si>
    <t xml:space="preserve">Вспомогательные модули электропитания, ЗИП и хозяйственно-бытовые помещения, рем-база.                            </t>
  </si>
  <si>
    <t xml:space="preserve">Гидротранспортный узел шламо- и пульпоподготовки  </t>
  </si>
  <si>
    <t>Здания и сооружения</t>
  </si>
  <si>
    <t xml:space="preserve">Проект комплексной переработки техногенного объекта со следующими  разделами: </t>
  </si>
  <si>
    <t>Юрист</t>
  </si>
  <si>
    <t>Шестаков П.С.</t>
  </si>
  <si>
    <t>Всего:</t>
  </si>
  <si>
    <t>Затраты появляются в начале и конце сезона +20%</t>
  </si>
  <si>
    <t>Электроэнергия 150 кВт/час х 20 х 30 х 6 руб.</t>
  </si>
  <si>
    <t>расчетные 10%</t>
  </si>
  <si>
    <t>Рудник</t>
  </si>
  <si>
    <t>1-й квартал 2026 г.</t>
  </si>
  <si>
    <t>2-й квартал 2026 г.</t>
  </si>
  <si>
    <t>3-й квартал 2026 г.</t>
  </si>
  <si>
    <t>4-й квартал 2026 г.</t>
  </si>
  <si>
    <t xml:space="preserve"> За 2026 г.</t>
  </si>
  <si>
    <t>На конец 2026 г.</t>
  </si>
  <si>
    <t>1-й квартал 2027 г.</t>
  </si>
  <si>
    <t>2-й квартал 2027 г.</t>
  </si>
  <si>
    <t>3-й квартал 2027 г.</t>
  </si>
  <si>
    <t>4-й квартал 2027 г.</t>
  </si>
  <si>
    <t xml:space="preserve"> За 2027 г.</t>
  </si>
  <si>
    <t>На конец 2027 г.</t>
  </si>
  <si>
    <t>Стоимость 1 гр золота, руб</t>
  </si>
  <si>
    <t>Главный технолог</t>
  </si>
  <si>
    <t>Ярославцев В.Ф.</t>
  </si>
  <si>
    <t>Начальник юридического отдела</t>
  </si>
  <si>
    <t>Технические средства охраны</t>
  </si>
  <si>
    <t>Доход после расчетов с партнерами</t>
  </si>
  <si>
    <t>Прибыли-убытки (с НДС 20%)</t>
  </si>
  <si>
    <t>* Оплата налогов - возможен кассовый разрыв</t>
  </si>
  <si>
    <r>
      <t>Доходы от реализации на промплощадках (см. прил.№1)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</si>
  <si>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                     Бюджет 6,5 лет</t>
  </si>
  <si>
    <t>Оплата труда (20 чел*100000 руб)</t>
  </si>
  <si>
    <t>Проездные 1 МОК-15 = 20*(10000 руб.(проезд плацкарт)+1000 руб.(питание)</t>
  </si>
  <si>
    <t>Рудник БРУ</t>
  </si>
  <si>
    <t>Расчет с владельцем территории 34%</t>
  </si>
  <si>
    <t>Стоимость 1 гр серебра, руб</t>
  </si>
  <si>
    <t>Условного золота</t>
  </si>
  <si>
    <t>ВСЕГО:</t>
  </si>
  <si>
    <t>Методика расчета стоимости условного золота</t>
  </si>
  <si>
    <t>1-й квартал 2028 г.</t>
  </si>
  <si>
    <t>2-й квартал 2028 г.</t>
  </si>
  <si>
    <t>3-й квартал 2028 г.</t>
  </si>
  <si>
    <t>4-й квартал 2028 г.</t>
  </si>
  <si>
    <t xml:space="preserve"> За 2028 г.</t>
  </si>
  <si>
    <t>На конец 2028 г.</t>
  </si>
  <si>
    <t>Стационарный МОК мощностью 30 т/час (Вибросито Scomi Prima G 4-х панельное 2 шт, селекторы поликорбанатные, Основа - металлическая контрукция, электроавтоматика, насосы питающие, запорная арматура и пр.)</t>
  </si>
  <si>
    <t xml:space="preserve">Проектно-конструкторские работы по МОК-30, МОК-7,5  </t>
  </si>
  <si>
    <t>2.4.</t>
  </si>
  <si>
    <t xml:space="preserve">Участок доводки, участок приёмки, лаборатория экспресс-анализа </t>
  </si>
  <si>
    <t>охранник</t>
  </si>
  <si>
    <t>№1 (МОК-30)</t>
  </si>
  <si>
    <t>МОК-30</t>
  </si>
  <si>
    <t xml:space="preserve">Затраты на проектные работы и приобретение (изготовление) производственного оборудования </t>
  </si>
  <si>
    <t>Прочие расходы 3%</t>
  </si>
  <si>
    <t>Эксплуатационные расходы МОК-30</t>
  </si>
  <si>
    <t>Период (месяц)</t>
  </si>
  <si>
    <t>Расходы З/П</t>
  </si>
  <si>
    <t>Итого:</t>
  </si>
  <si>
    <t>Амартизация оборудоуания (5,6%/год)</t>
  </si>
  <si>
    <t>Амартизация в квартал</t>
  </si>
  <si>
    <t>срок амартизации -  5,6% в год</t>
  </si>
  <si>
    <t xml:space="preserve"> МОК-30 (30 тн/час*0,85*1,27 гр/тн*0,97 афинаж*20часов*25 дней*3мес)</t>
  </si>
  <si>
    <t xml:space="preserve"> МОК-30 (30 тн/час*0,85*10 гр/тн*0,97 афинаж*20часов*25 дней*3мес)</t>
  </si>
  <si>
    <t>Общие затраты</t>
  </si>
  <si>
    <t xml:space="preserve">Этапы работ </t>
  </si>
  <si>
    <t>Перечень работ</t>
  </si>
  <si>
    <t xml:space="preserve">Стоимость </t>
  </si>
  <si>
    <t xml:space="preserve">Перечень оборудования  </t>
  </si>
  <si>
    <t>1-й квартал 2029 г.</t>
  </si>
  <si>
    <t>2-й квартал 2029 г.</t>
  </si>
  <si>
    <t>3-й квартал 2029 г.</t>
  </si>
  <si>
    <t>4-й квартал 2029 г.</t>
  </si>
  <si>
    <t xml:space="preserve"> За 2029 г.</t>
  </si>
  <si>
    <t>На конец 2029 г.</t>
  </si>
  <si>
    <t>На конец        2029 г.</t>
  </si>
  <si>
    <t xml:space="preserve">Горно-транспортный цех (1 экскаватор(20), погрузчик 3м3(15), 2 автосамосвал 10м3(20), дезинтегратор(5), 1 гидромонитор(1)).                                                          </t>
  </si>
  <si>
    <t>Хоздоговор с патентодержателем (круглый год ежемесячно)(аванс) на …... г.г.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</si>
</sst>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\-#,##0\ "/>
    <numFmt numFmtId="167" formatCode="#,##0\ &quot;₽&quot;"/>
  </numFmts>
  <fonts count="53"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charset val="204"/>
    </font>
    <font>
      <i/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10"/>
      <name val="Arial Cyr"/>
      <charset val="204"/>
    </font>
    <font>
      <sz val="10"/>
      <color indexed="10"/>
      <name val="Arial Cyr"/>
      <charset val="204"/>
    </font>
    <font>
      <b/>
      <sz val="16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indexed="8"/>
      <name val="Times New Roman"/>
      <family val="1"/>
      <charset val="204"/>
    </font>
    <font>
      <sz val="14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32"/>
      <name val="Arial"/>
      <family val="2"/>
      <charset val="204"/>
    </font>
    <font>
      <sz val="10"/>
      <color indexed="4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53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rgb="FFFF0000"/>
        <bgColor indexed="26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1" applyNumberFormat="0" applyAlignment="0" applyProtection="0"/>
    <xf numFmtId="0" fontId="6" fillId="7" borderId="2" applyNumberFormat="0" applyAlignment="0" applyProtection="0"/>
    <xf numFmtId="0" fontId="7" fillId="7" borderId="1" applyNumberFormat="0" applyAlignment="0" applyProtection="0"/>
    <xf numFmtId="164" fontId="1" fillId="0" borderId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8" borderId="7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25" fillId="0" borderId="0"/>
    <xf numFmtId="0" fontId="2" fillId="0" borderId="0"/>
    <xf numFmtId="0" fontId="26" fillId="0" borderId="0">
      <alignment horizontal="left"/>
    </xf>
    <xf numFmtId="0" fontId="1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24" fillId="11" borderId="8" applyNumberFormat="0" applyAlignment="0" applyProtection="0"/>
    <xf numFmtId="9" fontId="3" fillId="0" borderId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0" fontId="19" fillId="12" borderId="0" applyNumberFormat="0" applyBorder="0" applyAlignment="0" applyProtection="0"/>
  </cellStyleXfs>
  <cellXfs count="472">
    <xf numFmtId="0" fontId="2" fillId="0" borderId="0" xfId="0" applyFont="1"/>
    <xf numFmtId="0" fontId="28" fillId="0" borderId="0" xfId="0" applyFont="1"/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/>
    <xf numFmtId="4" fontId="21" fillId="0" borderId="0" xfId="0" applyNumberFormat="1" applyFont="1"/>
    <xf numFmtId="4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1" fillId="0" borderId="0" xfId="22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0" fontId="21" fillId="0" borderId="11" xfId="0" applyFont="1" applyFill="1" applyBorder="1" applyAlignment="1">
      <alignment wrapText="1" shrinkToFit="1"/>
    </xf>
    <xf numFmtId="14" fontId="21" fillId="0" borderId="11" xfId="0" applyNumberFormat="1" applyFont="1" applyBorder="1" applyAlignment="1">
      <alignment horizontal="center"/>
    </xf>
    <xf numFmtId="0" fontId="21" fillId="0" borderId="0" xfId="0" applyFont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28" fillId="0" borderId="0" xfId="0" applyFont="1" applyFill="1"/>
    <xf numFmtId="0" fontId="20" fillId="0" borderId="12" xfId="0" applyFont="1" applyBorder="1" applyAlignment="1">
      <alignment vertical="center"/>
    </xf>
    <xf numFmtId="164" fontId="28" fillId="0" borderId="0" xfId="11" applyFont="1" applyAlignment="1">
      <alignment horizontal="right"/>
    </xf>
    <xf numFmtId="0" fontId="30" fillId="0" borderId="0" xfId="0" applyFont="1"/>
    <xf numFmtId="1" fontId="0" fillId="13" borderId="0" xfId="0" applyNumberFormat="1" applyFill="1"/>
    <xf numFmtId="0" fontId="0" fillId="13" borderId="0" xfId="0" applyFill="1"/>
    <xf numFmtId="1" fontId="0" fillId="13" borderId="0" xfId="0" applyNumberFormat="1" applyFill="1" applyBorder="1"/>
    <xf numFmtId="0" fontId="0" fillId="13" borderId="0" xfId="0" applyFill="1" applyBorder="1"/>
    <xf numFmtId="0" fontId="34" fillId="13" borderId="13" xfId="0" applyFont="1" applyFill="1" applyBorder="1" applyAlignment="1"/>
    <xf numFmtId="0" fontId="34" fillId="13" borderId="0" xfId="0" applyFont="1" applyFill="1" applyAlignment="1">
      <alignment horizontal="left"/>
    </xf>
    <xf numFmtId="0" fontId="34" fillId="13" borderId="0" xfId="0" applyFont="1" applyFill="1" applyAlignment="1">
      <alignment horizontal="center"/>
    </xf>
    <xf numFmtId="1" fontId="0" fillId="13" borderId="0" xfId="0" applyNumberFormat="1" applyFill="1" applyAlignment="1">
      <alignment horizontal="right"/>
    </xf>
    <xf numFmtId="1" fontId="35" fillId="13" borderId="0" xfId="0" applyNumberFormat="1" applyFont="1" applyFill="1"/>
    <xf numFmtId="0" fontId="31" fillId="13" borderId="11" xfId="0" applyFont="1" applyFill="1" applyBorder="1" applyAlignment="1">
      <alignment horizontal="center" vertical="top" wrapText="1"/>
    </xf>
    <xf numFmtId="0" fontId="32" fillId="13" borderId="11" xfId="0" applyFont="1" applyFill="1" applyBorder="1" applyAlignment="1">
      <alignment horizontal="center" vertical="center" wrapText="1"/>
    </xf>
    <xf numFmtId="0" fontId="34" fillId="13" borderId="11" xfId="0" applyFont="1" applyFill="1" applyBorder="1" applyAlignment="1">
      <alignment horizontal="center" vertical="center" wrapText="1"/>
    </xf>
    <xf numFmtId="0" fontId="34" fillId="13" borderId="14" xfId="0" applyFont="1" applyFill="1" applyBorder="1" applyAlignment="1">
      <alignment horizontal="center" vertical="center" wrapText="1"/>
    </xf>
    <xf numFmtId="1" fontId="34" fillId="13" borderId="11" xfId="0" applyNumberFormat="1" applyFont="1" applyFill="1" applyBorder="1" applyAlignment="1">
      <alignment horizontal="center" vertical="center" wrapText="1"/>
    </xf>
    <xf numFmtId="1" fontId="34" fillId="14" borderId="11" xfId="0" applyNumberFormat="1" applyFont="1" applyFill="1" applyBorder="1" applyAlignment="1">
      <alignment horizontal="center" vertical="center" wrapText="1"/>
    </xf>
    <xf numFmtId="1" fontId="34" fillId="13" borderId="15" xfId="0" applyNumberFormat="1" applyFont="1" applyFill="1" applyBorder="1" applyAlignment="1">
      <alignment horizontal="center" vertical="center" wrapText="1"/>
    </xf>
    <xf numFmtId="1" fontId="34" fillId="15" borderId="11" xfId="0" applyNumberFormat="1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/>
    </xf>
    <xf numFmtId="1" fontId="37" fillId="13" borderId="11" xfId="0" applyNumberFormat="1" applyFont="1" applyFill="1" applyBorder="1" applyAlignment="1">
      <alignment horizontal="center" vertical="center"/>
    </xf>
    <xf numFmtId="1" fontId="37" fillId="14" borderId="1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" fillId="0" borderId="0" xfId="0" applyFont="1" applyBorder="1"/>
    <xf numFmtId="0" fontId="0" fillId="0" borderId="0" xfId="0" applyBorder="1"/>
    <xf numFmtId="0" fontId="28" fillId="0" borderId="0" xfId="0" applyFont="1" applyFill="1" applyBorder="1"/>
    <xf numFmtId="0" fontId="27" fillId="0" borderId="0" xfId="0" applyFont="1" applyBorder="1" applyAlignment="1">
      <alignment horizontal="center" vertical="center" wrapText="1" shrinkToFit="1"/>
    </xf>
    <xf numFmtId="0" fontId="34" fillId="13" borderId="0" xfId="0" applyFont="1" applyFill="1"/>
    <xf numFmtId="0" fontId="34" fillId="13" borderId="0" xfId="0" applyFont="1" applyFill="1" applyAlignment="1">
      <alignment horizontal="right" vertical="center"/>
    </xf>
    <xf numFmtId="0" fontId="37" fillId="13" borderId="14" xfId="0" applyFont="1" applyFill="1" applyBorder="1" applyAlignment="1">
      <alignment horizontal="center" vertical="center"/>
    </xf>
    <xf numFmtId="1" fontId="37" fillId="15" borderId="14" xfId="0" applyNumberFormat="1" applyFont="1" applyFill="1" applyBorder="1" applyAlignment="1">
      <alignment horizontal="center" vertical="center"/>
    </xf>
    <xf numFmtId="1" fontId="39" fillId="13" borderId="0" xfId="0" applyNumberFormat="1" applyFont="1" applyFill="1"/>
    <xf numFmtId="1" fontId="40" fillId="13" borderId="0" xfId="0" applyNumberFormat="1" applyFont="1" applyFill="1"/>
    <xf numFmtId="167" fontId="38" fillId="13" borderId="0" xfId="0" applyNumberFormat="1" applyFont="1" applyFill="1" applyAlignment="1">
      <alignment horizontal="center" vertical="center"/>
    </xf>
    <xf numFmtId="0" fontId="31" fillId="13" borderId="16" xfId="0" applyFont="1" applyFill="1" applyBorder="1" applyAlignment="1">
      <alignment horizontal="center" vertical="top" wrapText="1"/>
    </xf>
    <xf numFmtId="0" fontId="31" fillId="13" borderId="14" xfId="0" applyFont="1" applyFill="1" applyBorder="1" applyAlignment="1">
      <alignment horizontal="center" vertical="top" wrapText="1"/>
    </xf>
    <xf numFmtId="0" fontId="31" fillId="13" borderId="17" xfId="0" applyFont="1" applyFill="1" applyBorder="1" applyAlignment="1">
      <alignment horizontal="center" vertical="top" wrapText="1"/>
    </xf>
    <xf numFmtId="0" fontId="31" fillId="13" borderId="18" xfId="0" applyFont="1" applyFill="1" applyBorder="1" applyAlignment="1">
      <alignment horizontal="center" vertical="top" wrapText="1"/>
    </xf>
    <xf numFmtId="1" fontId="31" fillId="13" borderId="19" xfId="0" applyNumberFormat="1" applyFont="1" applyFill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1" xfId="0" applyFont="1" applyFill="1" applyBorder="1" applyAlignment="1">
      <alignment horizontal="left" vertical="center" wrapText="1" shrinkToFit="1"/>
    </xf>
    <xf numFmtId="164" fontId="28" fillId="0" borderId="0" xfId="11" applyFont="1" applyAlignment="1">
      <alignment horizontal="center" vertical="center"/>
    </xf>
    <xf numFmtId="0" fontId="27" fillId="13" borderId="0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wrapText="1"/>
    </xf>
    <xf numFmtId="3" fontId="22" fillId="13" borderId="2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21" fillId="0" borderId="27" xfId="0" applyNumberFormat="1" applyFont="1" applyFill="1" applyBorder="1" applyAlignment="1">
      <alignment horizontal="center" vertical="center" wrapText="1"/>
    </xf>
    <xf numFmtId="3" fontId="21" fillId="0" borderId="28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2" fillId="17" borderId="25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2" fillId="0" borderId="32" xfId="0" applyFont="1" applyFill="1" applyBorder="1" applyAlignment="1">
      <alignment horizontal="right" wrapText="1"/>
    </xf>
    <xf numFmtId="0" fontId="21" fillId="0" borderId="33" xfId="0" applyFont="1" applyBorder="1" applyAlignment="1">
      <alignment horizontal="center"/>
    </xf>
    <xf numFmtId="0" fontId="21" fillId="0" borderId="34" xfId="0" applyFont="1" applyFill="1" applyBorder="1" applyAlignment="1">
      <alignment wrapText="1" shrinkToFit="1"/>
    </xf>
    <xf numFmtId="0" fontId="21" fillId="0" borderId="10" xfId="0" applyFont="1" applyFill="1" applyBorder="1" applyAlignment="1">
      <alignment wrapText="1" shrinkToFit="1"/>
    </xf>
    <xf numFmtId="0" fontId="21" fillId="0" borderId="35" xfId="0" applyFont="1" applyBorder="1"/>
    <xf numFmtId="0" fontId="21" fillId="0" borderId="36" xfId="0" applyFont="1" applyBorder="1" applyAlignment="1">
      <alignment horizontal="center"/>
    </xf>
    <xf numFmtId="0" fontId="22" fillId="0" borderId="36" xfId="0" applyFont="1" applyBorder="1" applyAlignment="1">
      <alignment horizontal="right" wrapText="1"/>
    </xf>
    <xf numFmtId="1" fontId="38" fillId="15" borderId="0" xfId="0" applyNumberFormat="1" applyFont="1" applyFill="1" applyBorder="1" applyAlignment="1">
      <alignment horizontal="center" vertical="center"/>
    </xf>
    <xf numFmtId="3" fontId="1" fillId="13" borderId="0" xfId="0" applyNumberFormat="1" applyFont="1" applyFill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17" fontId="22" fillId="0" borderId="20" xfId="0" applyNumberFormat="1" applyFont="1" applyBorder="1" applyAlignment="1">
      <alignment horizontal="center" vertical="center" wrapText="1"/>
    </xf>
    <xf numFmtId="17" fontId="22" fillId="0" borderId="38" xfId="0" applyNumberFormat="1" applyFont="1" applyBorder="1" applyAlignment="1">
      <alignment horizontal="center" vertical="center" wrapText="1"/>
    </xf>
    <xf numFmtId="0" fontId="22" fillId="0" borderId="39" xfId="0" applyFont="1" applyFill="1" applyBorder="1" applyAlignment="1"/>
    <xf numFmtId="0" fontId="22" fillId="0" borderId="40" xfId="0" applyFont="1" applyFill="1" applyBorder="1" applyAlignment="1"/>
    <xf numFmtId="3" fontId="21" fillId="0" borderId="0" xfId="0" applyNumberFormat="1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vertical="center"/>
    </xf>
    <xf numFmtId="0" fontId="23" fillId="13" borderId="0" xfId="0" applyFont="1" applyFill="1" applyAlignment="1">
      <alignment vertical="center"/>
    </xf>
    <xf numFmtId="0" fontId="21" fillId="0" borderId="11" xfId="0" applyFont="1" applyFill="1" applyBorder="1" applyAlignment="1">
      <alignment horizontal="left" vertical="top" wrapText="1" shrinkToFit="1"/>
    </xf>
    <xf numFmtId="166" fontId="28" fillId="0" borderId="29" xfId="11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66" fontId="27" fillId="18" borderId="41" xfId="11" applyNumberFormat="1" applyFont="1" applyFill="1" applyBorder="1" applyAlignment="1">
      <alignment horizontal="center" vertical="center"/>
    </xf>
    <xf numFmtId="3" fontId="21" fillId="13" borderId="13" xfId="0" applyNumberFormat="1" applyFont="1" applyFill="1" applyBorder="1" applyAlignment="1">
      <alignment horizontal="center" vertical="center" wrapText="1"/>
    </xf>
    <xf numFmtId="3" fontId="21" fillId="13" borderId="44" xfId="0" applyNumberFormat="1" applyFont="1" applyFill="1" applyBorder="1" applyAlignment="1">
      <alignment horizontal="center" vertical="center" wrapText="1"/>
    </xf>
    <xf numFmtId="3" fontId="21" fillId="0" borderId="45" xfId="0" applyNumberFormat="1" applyFont="1" applyFill="1" applyBorder="1" applyAlignment="1">
      <alignment horizontal="center" vertical="center" wrapText="1"/>
    </xf>
    <xf numFmtId="3" fontId="21" fillId="0" borderId="46" xfId="0" applyNumberFormat="1" applyFont="1" applyFill="1" applyBorder="1" applyAlignment="1">
      <alignment horizontal="center" vertical="center" wrapText="1"/>
    </xf>
    <xf numFmtId="3" fontId="21" fillId="0" borderId="47" xfId="0" applyNumberFormat="1" applyFont="1" applyFill="1" applyBorder="1" applyAlignment="1">
      <alignment horizontal="center" vertical="center" wrapText="1"/>
    </xf>
    <xf numFmtId="3" fontId="21" fillId="0" borderId="50" xfId="0" applyNumberFormat="1" applyFont="1" applyFill="1" applyBorder="1" applyAlignment="1">
      <alignment horizontal="center" vertical="center" wrapText="1"/>
    </xf>
    <xf numFmtId="3" fontId="21" fillId="13" borderId="56" xfId="0" applyNumberFormat="1" applyFont="1" applyFill="1" applyBorder="1" applyAlignment="1">
      <alignment horizontal="center" vertical="center" wrapText="1"/>
    </xf>
    <xf numFmtId="3" fontId="21" fillId="0" borderId="57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166" fontId="28" fillId="0" borderId="43" xfId="11" applyNumberFormat="1" applyFont="1" applyFill="1" applyBorder="1" applyAlignment="1">
      <alignment horizontal="right"/>
    </xf>
    <xf numFmtId="166" fontId="28" fillId="0" borderId="45" xfId="11" applyNumberFormat="1" applyFont="1" applyFill="1" applyBorder="1" applyAlignment="1">
      <alignment horizontal="right"/>
    </xf>
    <xf numFmtId="166" fontId="27" fillId="18" borderId="48" xfId="11" applyNumberFormat="1" applyFont="1" applyFill="1" applyBorder="1" applyAlignment="1">
      <alignment horizontal="right"/>
    </xf>
    <xf numFmtId="0" fontId="22" fillId="0" borderId="54" xfId="0" applyFont="1" applyFill="1" applyBorder="1" applyAlignment="1">
      <alignment horizontal="center" vertical="center"/>
    </xf>
    <xf numFmtId="0" fontId="22" fillId="0" borderId="58" xfId="0" applyFont="1" applyFill="1" applyBorder="1" applyAlignment="1"/>
    <xf numFmtId="0" fontId="21" fillId="0" borderId="29" xfId="0" applyFont="1" applyFill="1" applyBorder="1" applyAlignment="1">
      <alignment wrapText="1" shrinkToFit="1"/>
    </xf>
    <xf numFmtId="0" fontId="22" fillId="0" borderId="41" xfId="0" applyFont="1" applyFill="1" applyBorder="1" applyAlignment="1">
      <alignment horizontal="right" wrapText="1"/>
    </xf>
    <xf numFmtId="1" fontId="36" fillId="13" borderId="14" xfId="0" applyNumberFormat="1" applyFont="1" applyFill="1" applyBorder="1" applyAlignment="1">
      <alignment horizontal="center" vertical="center" wrapText="1"/>
    </xf>
    <xf numFmtId="1" fontId="36" fillId="13" borderId="50" xfId="0" applyNumberFormat="1" applyFont="1" applyFill="1" applyBorder="1" applyAlignment="1">
      <alignment horizontal="center" vertical="center" wrapText="1"/>
    </xf>
    <xf numFmtId="0" fontId="34" fillId="13" borderId="15" xfId="0" applyFont="1" applyFill="1" applyBorder="1" applyAlignment="1">
      <alignment horizontal="left" vertical="center" wrapText="1"/>
    </xf>
    <xf numFmtId="0" fontId="34" fillId="13" borderId="59" xfId="0" applyFont="1" applyFill="1" applyBorder="1" applyAlignment="1">
      <alignment horizontal="center" vertical="center" wrapText="1"/>
    </xf>
    <xf numFmtId="0" fontId="34" fillId="13" borderId="14" xfId="0" applyFont="1" applyFill="1" applyBorder="1" applyAlignment="1">
      <alignment vertical="center" wrapText="1"/>
    </xf>
    <xf numFmtId="0" fontId="34" fillId="13" borderId="15" xfId="0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3" fontId="21" fillId="0" borderId="15" xfId="0" applyNumberFormat="1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12" xfId="0" applyFont="1" applyBorder="1" applyAlignment="1"/>
    <xf numFmtId="0" fontId="2" fillId="0" borderId="25" xfId="0" applyFont="1" applyBorder="1"/>
    <xf numFmtId="0" fontId="2" fillId="0" borderId="54" xfId="0" applyFont="1" applyBorder="1"/>
    <xf numFmtId="0" fontId="34" fillId="15" borderId="19" xfId="0" applyFont="1" applyFill="1" applyBorder="1" applyAlignment="1">
      <alignment horizontal="center" vertical="center" wrapText="1"/>
    </xf>
    <xf numFmtId="0" fontId="34" fillId="13" borderId="59" xfId="0" applyFont="1" applyFill="1" applyBorder="1" applyAlignment="1">
      <alignment vertical="center" wrapText="1"/>
    </xf>
    <xf numFmtId="0" fontId="34" fillId="13" borderId="15" xfId="0" applyFont="1" applyFill="1" applyBorder="1" applyAlignment="1">
      <alignment horizontal="center" vertical="center" wrapText="1"/>
    </xf>
    <xf numFmtId="0" fontId="32" fillId="13" borderId="59" xfId="0" applyFont="1" applyFill="1" applyBorder="1" applyAlignment="1">
      <alignment horizontal="center" vertical="center" wrapText="1"/>
    </xf>
    <xf numFmtId="0" fontId="34" fillId="13" borderId="50" xfId="0" applyFont="1" applyFill="1" applyBorder="1" applyAlignment="1">
      <alignment horizontal="center" vertical="center" wrapText="1"/>
    </xf>
    <xf numFmtId="0" fontId="32" fillId="13" borderId="17" xfId="0" applyFont="1" applyFill="1" applyBorder="1" applyAlignment="1">
      <alignment horizontal="center" vertical="center" wrapText="1"/>
    </xf>
    <xf numFmtId="0" fontId="32" fillId="13" borderId="10" xfId="0" applyFont="1" applyFill="1" applyBorder="1" applyAlignment="1">
      <alignment horizontal="center" vertical="center" wrapText="1"/>
    </xf>
    <xf numFmtId="1" fontId="32" fillId="13" borderId="10" xfId="0" applyNumberFormat="1" applyFont="1" applyFill="1" applyBorder="1" applyAlignment="1">
      <alignment horizontal="center" vertical="center" wrapText="1"/>
    </xf>
    <xf numFmtId="1" fontId="32" fillId="14" borderId="10" xfId="0" applyNumberFormat="1" applyFont="1" applyFill="1" applyBorder="1" applyAlignment="1">
      <alignment horizontal="center" vertical="center" wrapText="1"/>
    </xf>
    <xf numFmtId="1" fontId="32" fillId="15" borderId="10" xfId="0" applyNumberFormat="1" applyFont="1" applyFill="1" applyBorder="1" applyAlignment="1">
      <alignment horizontal="center" vertical="center" wrapText="1"/>
    </xf>
    <xf numFmtId="0" fontId="34" fillId="13" borderId="61" xfId="0" applyFont="1" applyFill="1" applyBorder="1" applyAlignment="1">
      <alignment vertical="center" wrapText="1"/>
    </xf>
    <xf numFmtId="0" fontId="34" fillId="13" borderId="34" xfId="0" applyFont="1" applyFill="1" applyBorder="1" applyAlignment="1">
      <alignment horizontal="center" vertical="center" wrapText="1"/>
    </xf>
    <xf numFmtId="0" fontId="34" fillId="13" borderId="26" xfId="0" applyFont="1" applyFill="1" applyBorder="1" applyAlignment="1">
      <alignment horizontal="center" vertical="center" wrapText="1"/>
    </xf>
    <xf numFmtId="1" fontId="34" fillId="13" borderId="34" xfId="0" applyNumberFormat="1" applyFont="1" applyFill="1" applyBorder="1" applyAlignment="1">
      <alignment horizontal="center" vertical="center" wrapText="1"/>
    </xf>
    <xf numFmtId="1" fontId="34" fillId="14" borderId="34" xfId="0" applyNumberFormat="1" applyFont="1" applyFill="1" applyBorder="1" applyAlignment="1">
      <alignment horizontal="center" vertical="center" wrapText="1"/>
    </xf>
    <xf numFmtId="1" fontId="34" fillId="13" borderId="61" xfId="0" applyNumberFormat="1" applyFont="1" applyFill="1" applyBorder="1" applyAlignment="1">
      <alignment horizontal="center" vertical="center" wrapText="1"/>
    </xf>
    <xf numFmtId="1" fontId="34" fillId="15" borderId="34" xfId="0" applyNumberFormat="1" applyFont="1" applyFill="1" applyBorder="1" applyAlignment="1">
      <alignment horizontal="center" vertical="center" wrapText="1"/>
    </xf>
    <xf numFmtId="1" fontId="34" fillId="13" borderId="24" xfId="0" applyNumberFormat="1" applyFont="1" applyFill="1" applyBorder="1" applyAlignment="1">
      <alignment horizontal="center" vertical="center" wrapText="1"/>
    </xf>
    <xf numFmtId="1" fontId="34" fillId="13" borderId="29" xfId="0" applyNumberFormat="1" applyFont="1" applyFill="1" applyBorder="1" applyAlignment="1">
      <alignment horizontal="center" vertical="center" wrapText="1"/>
    </xf>
    <xf numFmtId="0" fontId="34" fillId="13" borderId="62" xfId="0" applyFont="1" applyFill="1" applyBorder="1" applyAlignment="1">
      <alignment horizontal="left" vertical="center" wrapText="1"/>
    </xf>
    <xf numFmtId="1" fontId="34" fillId="13" borderId="32" xfId="0" applyNumberFormat="1" applyFont="1" applyFill="1" applyBorder="1" applyAlignment="1">
      <alignment horizontal="center" vertical="center" wrapText="1"/>
    </xf>
    <xf numFmtId="1" fontId="34" fillId="14" borderId="32" xfId="0" applyNumberFormat="1" applyFont="1" applyFill="1" applyBorder="1" applyAlignment="1">
      <alignment horizontal="center" vertical="center" wrapText="1"/>
    </xf>
    <xf numFmtId="0" fontId="34" fillId="13" borderId="63" xfId="0" applyFont="1" applyFill="1" applyBorder="1" applyAlignment="1">
      <alignment horizontal="center" vertical="center" wrapText="1"/>
    </xf>
    <xf numFmtId="0" fontId="34" fillId="13" borderId="64" xfId="0" applyFont="1" applyFill="1" applyBorder="1" applyAlignment="1">
      <alignment vertical="center" wrapText="1"/>
    </xf>
    <xf numFmtId="0" fontId="34" fillId="13" borderId="17" xfId="0" applyFont="1" applyFill="1" applyBorder="1" applyAlignment="1">
      <alignment vertical="center" wrapText="1"/>
    </xf>
    <xf numFmtId="0" fontId="34" fillId="13" borderId="10" xfId="0" applyFont="1" applyFill="1" applyBorder="1" applyAlignment="1">
      <alignment horizontal="center" vertical="center" wrapText="1"/>
    </xf>
    <xf numFmtId="1" fontId="34" fillId="13" borderId="10" xfId="0" applyNumberFormat="1" applyFont="1" applyFill="1" applyBorder="1" applyAlignment="1">
      <alignment horizontal="center" vertical="center" wrapText="1"/>
    </xf>
    <xf numFmtId="1" fontId="34" fillId="14" borderId="10" xfId="0" applyNumberFormat="1" applyFont="1" applyFill="1" applyBorder="1" applyAlignment="1">
      <alignment horizontal="center" vertical="center" wrapText="1"/>
    </xf>
    <xf numFmtId="1" fontId="34" fillId="13" borderId="17" xfId="0" applyNumberFormat="1" applyFont="1" applyFill="1" applyBorder="1" applyAlignment="1">
      <alignment horizontal="center" vertical="center" wrapText="1"/>
    </xf>
    <xf numFmtId="1" fontId="34" fillId="15" borderId="10" xfId="0" applyNumberFormat="1" applyFont="1" applyFill="1" applyBorder="1" applyAlignment="1">
      <alignment horizontal="center" vertical="center" wrapText="1"/>
    </xf>
    <xf numFmtId="1" fontId="34" fillId="13" borderId="65" xfId="0" applyNumberFormat="1" applyFont="1" applyFill="1" applyBorder="1" applyAlignment="1">
      <alignment horizontal="center" vertical="center" wrapText="1"/>
    </xf>
    <xf numFmtId="0" fontId="34" fillId="13" borderId="11" xfId="0" applyFont="1" applyFill="1" applyBorder="1" applyAlignment="1">
      <alignment vertical="center" wrapText="1"/>
    </xf>
    <xf numFmtId="0" fontId="34" fillId="13" borderId="33" xfId="0" applyFont="1" applyFill="1" applyBorder="1" applyAlignment="1">
      <alignment horizontal="center" vertical="center" wrapText="1"/>
    </xf>
    <xf numFmtId="0" fontId="34" fillId="13" borderId="34" xfId="0" applyFont="1" applyFill="1" applyBorder="1" applyAlignment="1">
      <alignment vertical="center" wrapText="1"/>
    </xf>
    <xf numFmtId="0" fontId="34" fillId="13" borderId="30" xfId="0" applyFont="1" applyFill="1" applyBorder="1" applyAlignment="1">
      <alignment horizontal="center" vertical="center" wrapText="1"/>
    </xf>
    <xf numFmtId="0" fontId="34" fillId="13" borderId="31" xfId="0" applyFont="1" applyFill="1" applyBorder="1" applyAlignment="1">
      <alignment horizontal="center" vertical="center" wrapText="1"/>
    </xf>
    <xf numFmtId="0" fontId="34" fillId="13" borderId="32" xfId="0" applyFont="1" applyFill="1" applyBorder="1" applyAlignment="1">
      <alignment vertical="center" wrapText="1"/>
    </xf>
    <xf numFmtId="0" fontId="34" fillId="15" borderId="16" xfId="0" applyFont="1" applyFill="1" applyBorder="1" applyAlignment="1">
      <alignment horizontal="center" vertical="center" wrapText="1"/>
    </xf>
    <xf numFmtId="0" fontId="34" fillId="15" borderId="19" xfId="0" applyFont="1" applyFill="1" applyBorder="1" applyAlignment="1">
      <alignment horizontal="left" vertical="center" wrapText="1"/>
    </xf>
    <xf numFmtId="0" fontId="34" fillId="15" borderId="18" xfId="0" applyFont="1" applyFill="1" applyBorder="1" applyAlignment="1">
      <alignment horizontal="left" vertical="center" wrapText="1"/>
    </xf>
    <xf numFmtId="1" fontId="36" fillId="15" borderId="19" xfId="0" applyNumberFormat="1" applyFont="1" applyFill="1" applyBorder="1" applyAlignment="1">
      <alignment horizontal="center" vertical="center" wrapText="1"/>
    </xf>
    <xf numFmtId="1" fontId="36" fillId="15" borderId="13" xfId="0" applyNumberFormat="1" applyFont="1" applyFill="1" applyBorder="1" applyAlignment="1">
      <alignment horizontal="center" vertical="center" wrapText="1"/>
    </xf>
    <xf numFmtId="1" fontId="34" fillId="15" borderId="16" xfId="0" applyNumberFormat="1" applyFont="1" applyFill="1" applyBorder="1" applyAlignment="1">
      <alignment horizontal="center" vertical="center" wrapText="1"/>
    </xf>
    <xf numFmtId="1" fontId="34" fillId="15" borderId="18" xfId="0" applyNumberFormat="1" applyFont="1" applyFill="1" applyBorder="1" applyAlignment="1">
      <alignment horizontal="center" vertical="center" wrapText="1"/>
    </xf>
    <xf numFmtId="0" fontId="34" fillId="13" borderId="26" xfId="0" applyFont="1" applyFill="1" applyBorder="1" applyAlignment="1">
      <alignment vertical="center" wrapText="1"/>
    </xf>
    <xf numFmtId="0" fontId="34" fillId="13" borderId="61" xfId="0" applyFont="1" applyFill="1" applyBorder="1" applyAlignment="1">
      <alignment horizontal="center" vertical="center" wrapText="1"/>
    </xf>
    <xf numFmtId="0" fontId="34" fillId="13" borderId="66" xfId="0" applyFont="1" applyFill="1" applyBorder="1" applyAlignment="1">
      <alignment horizontal="center" vertical="center" wrapText="1"/>
    </xf>
    <xf numFmtId="0" fontId="22" fillId="17" borderId="25" xfId="0" applyFont="1" applyFill="1" applyBorder="1" applyAlignment="1">
      <alignment horizontal="center" vertical="center" wrapText="1"/>
    </xf>
    <xf numFmtId="0" fontId="34" fillId="13" borderId="17" xfId="0" applyFont="1" applyFill="1" applyBorder="1" applyAlignment="1">
      <alignment horizontal="center" vertical="center" wrapText="1"/>
    </xf>
    <xf numFmtId="0" fontId="34" fillId="13" borderId="69" xfId="0" applyFont="1" applyFill="1" applyBorder="1" applyAlignment="1">
      <alignment horizontal="center" vertical="center" wrapText="1"/>
    </xf>
    <xf numFmtId="1" fontId="36" fillId="13" borderId="59" xfId="0" applyNumberFormat="1" applyFont="1" applyFill="1" applyBorder="1" applyAlignment="1">
      <alignment horizontal="center" vertical="center" wrapText="1"/>
    </xf>
    <xf numFmtId="1" fontId="36" fillId="13" borderId="63" xfId="0" applyNumberFormat="1" applyFont="1" applyFill="1" applyBorder="1" applyAlignment="1">
      <alignment horizontal="center" vertical="center" wrapText="1"/>
    </xf>
    <xf numFmtId="1" fontId="34" fillId="13" borderId="69" xfId="0" applyNumberFormat="1" applyFont="1" applyFill="1" applyBorder="1" applyAlignment="1">
      <alignment horizontal="center" vertical="center" wrapText="1"/>
    </xf>
    <xf numFmtId="0" fontId="2" fillId="0" borderId="39" xfId="0" applyFont="1" applyBorder="1"/>
    <xf numFmtId="0" fontId="23" fillId="0" borderId="5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22" fillId="13" borderId="21" xfId="0" applyNumberFormat="1" applyFont="1" applyFill="1" applyBorder="1" applyAlignment="1">
      <alignment horizontal="center" vertical="center" wrapText="1"/>
    </xf>
    <xf numFmtId="3" fontId="22" fillId="13" borderId="53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1" fillId="0" borderId="34" xfId="0" applyNumberFormat="1" applyFont="1" applyBorder="1" applyAlignment="1">
      <alignment horizontal="center" vertical="center"/>
    </xf>
    <xf numFmtId="3" fontId="21" fillId="0" borderId="71" xfId="0" applyNumberFormat="1" applyFont="1" applyBorder="1" applyAlignment="1">
      <alignment horizontal="center" vertical="center"/>
    </xf>
    <xf numFmtId="3" fontId="22" fillId="13" borderId="40" xfId="0" applyNumberFormat="1" applyFont="1" applyFill="1" applyBorder="1" applyAlignment="1">
      <alignment horizontal="center" vertical="center" wrapText="1"/>
    </xf>
    <xf numFmtId="3" fontId="22" fillId="13" borderId="39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center" vertical="center"/>
    </xf>
    <xf numFmtId="3" fontId="21" fillId="13" borderId="47" xfId="0" applyNumberFormat="1" applyFont="1" applyFill="1" applyBorder="1" applyAlignment="1">
      <alignment horizontal="center" vertical="center" wrapText="1"/>
    </xf>
    <xf numFmtId="3" fontId="22" fillId="17" borderId="23" xfId="0" applyNumberFormat="1" applyFont="1" applyFill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/>
    </xf>
    <xf numFmtId="0" fontId="22" fillId="0" borderId="70" xfId="0" applyFont="1" applyBorder="1" applyAlignment="1">
      <alignment horizontal="left" wrapText="1"/>
    </xf>
    <xf numFmtId="3" fontId="1" fillId="15" borderId="77" xfId="0" applyNumberFormat="1" applyFont="1" applyFill="1" applyBorder="1" applyAlignment="1">
      <alignment horizontal="center" vertical="center"/>
    </xf>
    <xf numFmtId="3" fontId="22" fillId="13" borderId="78" xfId="0" applyNumberFormat="1" applyFont="1" applyFill="1" applyBorder="1" applyAlignment="1">
      <alignment horizontal="center" vertical="center" wrapText="1"/>
    </xf>
    <xf numFmtId="3" fontId="22" fillId="13" borderId="0" xfId="0" applyNumberFormat="1" applyFont="1" applyFill="1" applyBorder="1" applyAlignment="1">
      <alignment horizontal="center" vertical="center" wrapText="1"/>
    </xf>
    <xf numFmtId="0" fontId="43" fillId="0" borderId="0" xfId="0" applyFont="1" applyAlignment="1"/>
    <xf numFmtId="0" fontId="1" fillId="0" borderId="0" xfId="0" applyFont="1"/>
    <xf numFmtId="3" fontId="22" fillId="13" borderId="63" xfId="0" applyNumberFormat="1" applyFont="1" applyFill="1" applyBorder="1" applyAlignment="1">
      <alignment horizontal="center" vertical="center" wrapText="1"/>
    </xf>
    <xf numFmtId="3" fontId="22" fillId="13" borderId="12" xfId="0" applyNumberFormat="1" applyFont="1" applyFill="1" applyBorder="1" applyAlignment="1">
      <alignment horizontal="center" vertical="center" wrapText="1"/>
    </xf>
    <xf numFmtId="3" fontId="22" fillId="13" borderId="79" xfId="0" applyNumberFormat="1" applyFont="1" applyFill="1" applyBorder="1" applyAlignment="1">
      <alignment horizontal="center" vertical="center" wrapText="1"/>
    </xf>
    <xf numFmtId="3" fontId="22" fillId="13" borderId="13" xfId="0" applyNumberFormat="1" applyFont="1" applyFill="1" applyBorder="1" applyAlignment="1">
      <alignment horizontal="center" vertical="center" wrapText="1"/>
    </xf>
    <xf numFmtId="3" fontId="22" fillId="13" borderId="59" xfId="0" applyNumberFormat="1" applyFont="1" applyFill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/>
    </xf>
    <xf numFmtId="3" fontId="21" fillId="0" borderId="61" xfId="0" applyNumberFormat="1" applyFont="1" applyBorder="1" applyAlignment="1">
      <alignment horizontal="center" vertical="center"/>
    </xf>
    <xf numFmtId="166" fontId="28" fillId="0" borderId="65" xfId="1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 wrapText="1"/>
    </xf>
    <xf numFmtId="1" fontId="22" fillId="0" borderId="71" xfId="0" applyNumberFormat="1" applyFont="1" applyBorder="1" applyAlignment="1">
      <alignment horizontal="center" vertical="center" wrapText="1"/>
    </xf>
    <xf numFmtId="1" fontId="22" fillId="0" borderId="16" xfId="0" applyNumberFormat="1" applyFont="1" applyBorder="1" applyAlignment="1">
      <alignment horizontal="center" vertical="center" wrapText="1"/>
    </xf>
    <xf numFmtId="1" fontId="22" fillId="0" borderId="32" xfId="0" applyNumberFormat="1" applyFont="1" applyBorder="1" applyAlignment="1">
      <alignment horizontal="center" vertical="center"/>
    </xf>
    <xf numFmtId="1" fontId="21" fillId="0" borderId="0" xfId="0" applyNumberFormat="1" applyFont="1"/>
    <xf numFmtId="49" fontId="22" fillId="0" borderId="71" xfId="0" applyNumberFormat="1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166" fontId="28" fillId="0" borderId="24" xfId="11" applyNumberFormat="1" applyFont="1" applyFill="1" applyBorder="1" applyAlignment="1">
      <alignment horizontal="center" vertical="center"/>
    </xf>
    <xf numFmtId="166" fontId="28" fillId="0" borderId="24" xfId="11" applyNumberFormat="1" applyFont="1" applyFill="1" applyBorder="1" applyAlignment="1">
      <alignment horizontal="right"/>
    </xf>
    <xf numFmtId="166" fontId="28" fillId="0" borderId="29" xfId="11" applyNumberFormat="1" applyFont="1" applyFill="1" applyBorder="1" applyAlignment="1">
      <alignment horizontal="right"/>
    </xf>
    <xf numFmtId="166" fontId="27" fillId="15" borderId="41" xfId="11" applyNumberFormat="1" applyFont="1" applyFill="1" applyBorder="1" applyAlignment="1">
      <alignment horizontal="right"/>
    </xf>
    <xf numFmtId="0" fontId="29" fillId="0" borderId="58" xfId="0" applyFont="1" applyFill="1" applyBorder="1" applyAlignment="1"/>
    <xf numFmtId="166" fontId="27" fillId="18" borderId="41" xfId="11" applyNumberFormat="1" applyFont="1" applyFill="1" applyBorder="1" applyAlignment="1">
      <alignment horizontal="right" vertical="center"/>
    </xf>
    <xf numFmtId="0" fontId="2" fillId="0" borderId="33" xfId="0" applyFont="1" applyBorder="1"/>
    <xf numFmtId="0" fontId="2" fillId="0" borderId="31" xfId="0" applyFont="1" applyBorder="1"/>
    <xf numFmtId="0" fontId="23" fillId="0" borderId="32" xfId="0" applyFont="1" applyBorder="1" applyAlignment="1">
      <alignment horizontal="right"/>
    </xf>
    <xf numFmtId="3" fontId="27" fillId="15" borderId="41" xfId="0" applyNumberFormat="1" applyFont="1" applyFill="1" applyBorder="1"/>
    <xf numFmtId="0" fontId="48" fillId="0" borderId="0" xfId="0" applyFont="1" applyBorder="1" applyAlignment="1">
      <alignment vertical="center"/>
    </xf>
    <xf numFmtId="3" fontId="21" fillId="0" borderId="67" xfId="0" applyNumberFormat="1" applyFont="1" applyFill="1" applyBorder="1" applyAlignment="1">
      <alignment horizontal="center" vertical="center" wrapText="1"/>
    </xf>
    <xf numFmtId="3" fontId="21" fillId="13" borderId="50" xfId="0" applyNumberFormat="1" applyFont="1" applyFill="1" applyBorder="1" applyAlignment="1">
      <alignment horizontal="center" vertical="center" wrapText="1"/>
    </xf>
    <xf numFmtId="3" fontId="21" fillId="13" borderId="45" xfId="0" applyNumberFormat="1" applyFont="1" applyFill="1" applyBorder="1" applyAlignment="1">
      <alignment horizontal="center" vertical="center" wrapText="1"/>
    </xf>
    <xf numFmtId="3" fontId="21" fillId="13" borderId="57" xfId="0" applyNumberFormat="1" applyFont="1" applyFill="1" applyBorder="1" applyAlignment="1">
      <alignment horizontal="center" vertical="center" wrapText="1"/>
    </xf>
    <xf numFmtId="3" fontId="2" fillId="13" borderId="0" xfId="0" applyNumberFormat="1" applyFont="1" applyFill="1" applyAlignment="1">
      <alignment horizontal="center" vertical="center"/>
    </xf>
    <xf numFmtId="3" fontId="21" fillId="19" borderId="58" xfId="0" applyNumberFormat="1" applyFont="1" applyFill="1" applyBorder="1" applyAlignment="1">
      <alignment horizontal="center" vertical="center" wrapText="1"/>
    </xf>
    <xf numFmtId="0" fontId="20" fillId="0" borderId="59" xfId="0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2" fontId="21" fillId="0" borderId="71" xfId="0" applyNumberFormat="1" applyFont="1" applyBorder="1" applyAlignment="1">
      <alignment horizontal="center" vertical="center"/>
    </xf>
    <xf numFmtId="0" fontId="2" fillId="20" borderId="11" xfId="0" applyFont="1" applyFill="1" applyBorder="1"/>
    <xf numFmtId="0" fontId="2" fillId="20" borderId="11" xfId="0" applyFont="1" applyFill="1" applyBorder="1" applyAlignment="1">
      <alignment horizontal="center" vertical="center"/>
    </xf>
    <xf numFmtId="167" fontId="2" fillId="20" borderId="24" xfId="0" applyNumberFormat="1" applyFont="1" applyFill="1" applyBorder="1"/>
    <xf numFmtId="167" fontId="2" fillId="20" borderId="29" xfId="0" applyNumberFormat="1" applyFont="1" applyFill="1" applyBorder="1"/>
    <xf numFmtId="0" fontId="2" fillId="20" borderId="30" xfId="0" applyFont="1" applyFill="1" applyBorder="1"/>
    <xf numFmtId="0" fontId="2" fillId="20" borderId="29" xfId="0" applyFont="1" applyFill="1" applyBorder="1"/>
    <xf numFmtId="0" fontId="2" fillId="20" borderId="32" xfId="0" applyFont="1" applyFill="1" applyBorder="1"/>
    <xf numFmtId="0" fontId="2" fillId="20" borderId="41" xfId="0" applyFont="1" applyFill="1" applyBorder="1"/>
    <xf numFmtId="167" fontId="2" fillId="16" borderId="29" xfId="0" applyNumberFormat="1" applyFont="1" applyFill="1" applyBorder="1"/>
    <xf numFmtId="0" fontId="1" fillId="20" borderId="30" xfId="0" applyFont="1" applyFill="1" applyBorder="1" applyAlignment="1">
      <alignment horizontal="center" wrapText="1"/>
    </xf>
    <xf numFmtId="0" fontId="1" fillId="20" borderId="11" xfId="0" applyFont="1" applyFill="1" applyBorder="1" applyAlignment="1">
      <alignment horizontal="center" wrapText="1"/>
    </xf>
    <xf numFmtId="0" fontId="1" fillId="20" borderId="11" xfId="0" applyFont="1" applyFill="1" applyBorder="1" applyAlignment="1">
      <alignment horizontal="right" wrapText="1"/>
    </xf>
    <xf numFmtId="2" fontId="2" fillId="20" borderId="34" xfId="0" applyNumberFormat="1" applyFont="1" applyFill="1" applyBorder="1"/>
    <xf numFmtId="2" fontId="2" fillId="20" borderId="11" xfId="0" applyNumberFormat="1" applyFont="1" applyFill="1" applyBorder="1"/>
    <xf numFmtId="2" fontId="2" fillId="20" borderId="32" xfId="0" applyNumberFormat="1" applyFont="1" applyFill="1" applyBorder="1"/>
    <xf numFmtId="3" fontId="2" fillId="0" borderId="0" xfId="0" applyNumberFormat="1" applyFont="1"/>
    <xf numFmtId="3" fontId="21" fillId="0" borderId="8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3" fontId="21" fillId="0" borderId="85" xfId="0" applyNumberFormat="1" applyFont="1" applyFill="1" applyBorder="1" applyAlignment="1">
      <alignment horizontal="center" vertical="center" wrapText="1"/>
    </xf>
    <xf numFmtId="166" fontId="50" fillId="0" borderId="29" xfId="11" applyNumberFormat="1" applyFont="1" applyFill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 wrapText="1"/>
    </xf>
    <xf numFmtId="166" fontId="28" fillId="0" borderId="11" xfId="11" applyNumberFormat="1" applyFont="1" applyFill="1" applyBorder="1" applyAlignment="1">
      <alignment horizontal="center" vertical="center"/>
    </xf>
    <xf numFmtId="1" fontId="22" fillId="0" borderId="81" xfId="0" applyNumberFormat="1" applyFont="1" applyBorder="1" applyAlignment="1">
      <alignment horizontal="center" vertical="center" wrapText="1"/>
    </xf>
    <xf numFmtId="0" fontId="22" fillId="0" borderId="79" xfId="0" applyFont="1" applyFill="1" applyBorder="1" applyAlignment="1">
      <alignment horizontal="right" wrapText="1" shrinkToFit="1"/>
    </xf>
    <xf numFmtId="166" fontId="28" fillId="0" borderId="47" xfId="11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1" fontId="22" fillId="0" borderId="69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4" fontId="21" fillId="0" borderId="0" xfId="0" applyNumberFormat="1" applyFont="1" applyAlignment="1">
      <alignment wrapText="1"/>
    </xf>
    <xf numFmtId="0" fontId="20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166" fontId="27" fillId="18" borderId="11" xfId="11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9" fontId="2" fillId="0" borderId="48" xfId="0" applyNumberFormat="1" applyFont="1" applyBorder="1" applyAlignment="1">
      <alignment horizontal="center" vertical="center"/>
    </xf>
    <xf numFmtId="3" fontId="21" fillId="0" borderId="55" xfId="0" applyNumberFormat="1" applyFont="1" applyFill="1" applyBorder="1" applyAlignment="1">
      <alignment horizontal="center" vertical="center" wrapText="1"/>
    </xf>
    <xf numFmtId="3" fontId="44" fillId="17" borderId="25" xfId="0" applyNumberFormat="1" applyFont="1" applyFill="1" applyBorder="1" applyAlignment="1">
      <alignment horizontal="center" vertical="center"/>
    </xf>
    <xf numFmtId="3" fontId="21" fillId="0" borderId="86" xfId="0" applyNumberFormat="1" applyFont="1" applyFill="1" applyBorder="1" applyAlignment="1">
      <alignment horizontal="center" vertical="center" wrapText="1"/>
    </xf>
    <xf numFmtId="0" fontId="21" fillId="0" borderId="33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1" fillId="0" borderId="30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0" fontId="21" fillId="0" borderId="31" xfId="0" applyNumberFormat="1" applyFont="1" applyFill="1" applyBorder="1" applyAlignment="1">
      <alignment horizontal="center" vertical="center"/>
    </xf>
    <xf numFmtId="0" fontId="51" fillId="0" borderId="32" xfId="0" applyFont="1" applyBorder="1" applyAlignment="1">
      <alignment horizontal="right" wrapText="1"/>
    </xf>
    <xf numFmtId="0" fontId="46" fillId="0" borderId="32" xfId="0" applyFont="1" applyBorder="1" applyAlignment="1">
      <alignment horizontal="center" vertical="center" wrapText="1"/>
    </xf>
    <xf numFmtId="166" fontId="2" fillId="0" borderId="41" xfId="0" applyNumberFormat="1" applyFont="1" applyBorder="1" applyAlignment="1">
      <alignment horizontal="center" vertical="center" wrapText="1"/>
    </xf>
    <xf numFmtId="3" fontId="22" fillId="21" borderId="53" xfId="0" applyNumberFormat="1" applyFont="1" applyFill="1" applyBorder="1" applyAlignment="1">
      <alignment horizontal="center" vertical="center" wrapText="1"/>
    </xf>
    <xf numFmtId="3" fontId="22" fillId="21" borderId="23" xfId="0" applyNumberFormat="1" applyFont="1" applyFill="1" applyBorder="1" applyAlignment="1">
      <alignment horizontal="center" vertical="center" wrapText="1"/>
    </xf>
    <xf numFmtId="3" fontId="22" fillId="21" borderId="25" xfId="0" applyNumberFormat="1" applyFont="1" applyFill="1" applyBorder="1" applyAlignment="1">
      <alignment horizontal="center" vertical="center" wrapText="1"/>
    </xf>
    <xf numFmtId="3" fontId="22" fillId="21" borderId="24" xfId="0" applyNumberFormat="1" applyFont="1" applyFill="1" applyBorder="1" applyAlignment="1">
      <alignment horizontal="center" vertical="center" wrapText="1"/>
    </xf>
    <xf numFmtId="3" fontId="22" fillId="21" borderId="21" xfId="0" applyNumberFormat="1" applyFont="1" applyFill="1" applyBorder="1" applyAlignment="1">
      <alignment horizontal="center" vertical="center" wrapText="1"/>
    </xf>
    <xf numFmtId="3" fontId="22" fillId="21" borderId="26" xfId="0" applyNumberFormat="1" applyFont="1" applyFill="1" applyBorder="1" applyAlignment="1">
      <alignment horizontal="center" vertical="center" wrapText="1"/>
    </xf>
    <xf numFmtId="3" fontId="22" fillId="21" borderId="52" xfId="0" applyNumberFormat="1" applyFont="1" applyFill="1" applyBorder="1" applyAlignment="1">
      <alignment horizontal="center" vertical="center" wrapText="1"/>
    </xf>
    <xf numFmtId="3" fontId="22" fillId="21" borderId="49" xfId="0" applyNumberFormat="1" applyFont="1" applyFill="1" applyBorder="1" applyAlignment="1">
      <alignment horizontal="center" vertical="center" wrapText="1"/>
    </xf>
    <xf numFmtId="3" fontId="22" fillId="21" borderId="35" xfId="0" applyNumberFormat="1" applyFont="1" applyFill="1" applyBorder="1" applyAlignment="1">
      <alignment horizontal="center" vertical="center" wrapText="1"/>
    </xf>
    <xf numFmtId="3" fontId="22" fillId="21" borderId="58" xfId="0" applyNumberFormat="1" applyFont="1" applyFill="1" applyBorder="1" applyAlignment="1">
      <alignment horizontal="center" vertical="center" wrapText="1"/>
    </xf>
    <xf numFmtId="3" fontId="22" fillId="21" borderId="40" xfId="0" applyNumberFormat="1" applyFont="1" applyFill="1" applyBorder="1" applyAlignment="1">
      <alignment horizontal="center" vertical="center" wrapText="1"/>
    </xf>
    <xf numFmtId="3" fontId="22" fillId="21" borderId="54" xfId="0" applyNumberFormat="1" applyFont="1" applyFill="1" applyBorder="1" applyAlignment="1">
      <alignment horizontal="center" vertical="center" wrapText="1"/>
    </xf>
    <xf numFmtId="3" fontId="22" fillId="21" borderId="29" xfId="0" applyNumberFormat="1" applyFont="1" applyFill="1" applyBorder="1" applyAlignment="1">
      <alignment horizontal="center" vertical="center" wrapText="1"/>
    </xf>
    <xf numFmtId="3" fontId="21" fillId="21" borderId="47" xfId="0" applyNumberFormat="1" applyFont="1" applyFill="1" applyBorder="1" applyAlignment="1">
      <alignment horizontal="center" vertical="center" wrapText="1"/>
    </xf>
    <xf numFmtId="3" fontId="21" fillId="21" borderId="80" xfId="0" applyNumberFormat="1" applyFont="1" applyFill="1" applyBorder="1" applyAlignment="1">
      <alignment horizontal="center" vertical="center" wrapText="1"/>
    </xf>
    <xf numFmtId="3" fontId="21" fillId="21" borderId="60" xfId="0" applyNumberFormat="1" applyFont="1" applyFill="1" applyBorder="1" applyAlignment="1">
      <alignment horizontal="center" vertical="center" wrapText="1"/>
    </xf>
    <xf numFmtId="3" fontId="21" fillId="21" borderId="28" xfId="0" applyNumberFormat="1" applyFont="1" applyFill="1" applyBorder="1" applyAlignment="1">
      <alignment horizontal="center" vertical="center" wrapText="1"/>
    </xf>
    <xf numFmtId="3" fontId="21" fillId="21" borderId="27" xfId="0" applyNumberFormat="1" applyFont="1" applyFill="1" applyBorder="1" applyAlignment="1">
      <alignment horizontal="center" vertical="center" wrapText="1"/>
    </xf>
    <xf numFmtId="3" fontId="22" fillId="21" borderId="43" xfId="0" applyNumberFormat="1" applyFont="1" applyFill="1" applyBorder="1" applyAlignment="1">
      <alignment horizontal="center" vertical="center" wrapText="1"/>
    </xf>
    <xf numFmtId="3" fontId="22" fillId="21" borderId="22" xfId="0" applyNumberFormat="1" applyFont="1" applyFill="1" applyBorder="1" applyAlignment="1">
      <alignment horizontal="center" vertical="center" wrapText="1"/>
    </xf>
    <xf numFmtId="3" fontId="22" fillId="21" borderId="56" xfId="0" applyNumberFormat="1" applyFont="1" applyFill="1" applyBorder="1" applyAlignment="1">
      <alignment horizontal="center" vertical="center" wrapText="1"/>
    </xf>
    <xf numFmtId="3" fontId="22" fillId="21" borderId="13" xfId="0" applyNumberFormat="1" applyFont="1" applyFill="1" applyBorder="1" applyAlignment="1">
      <alignment horizontal="center" vertical="center" wrapText="1"/>
    </xf>
    <xf numFmtId="3" fontId="22" fillId="21" borderId="44" xfId="0" applyNumberFormat="1" applyFont="1" applyFill="1" applyBorder="1" applyAlignment="1">
      <alignment horizontal="center" vertical="center" wrapText="1"/>
    </xf>
    <xf numFmtId="3" fontId="21" fillId="21" borderId="68" xfId="0" applyNumberFormat="1" applyFont="1" applyFill="1" applyBorder="1" applyAlignment="1">
      <alignment horizontal="center" vertical="center" wrapText="1"/>
    </xf>
    <xf numFmtId="3" fontId="21" fillId="21" borderId="57" xfId="0" applyNumberFormat="1" applyFont="1" applyFill="1" applyBorder="1" applyAlignment="1">
      <alignment horizontal="center" vertical="center" wrapText="1"/>
    </xf>
    <xf numFmtId="3" fontId="21" fillId="21" borderId="45" xfId="0" applyNumberFormat="1" applyFont="1" applyFill="1" applyBorder="1" applyAlignment="1">
      <alignment horizontal="center" vertical="center" wrapText="1"/>
    </xf>
    <xf numFmtId="3" fontId="21" fillId="21" borderId="50" xfId="0" applyNumberFormat="1" applyFont="1" applyFill="1" applyBorder="1" applyAlignment="1">
      <alignment horizontal="center" vertical="center" wrapText="1"/>
    </xf>
    <xf numFmtId="3" fontId="21" fillId="21" borderId="44" xfId="0" applyNumberFormat="1" applyFont="1" applyFill="1" applyBorder="1" applyAlignment="1">
      <alignment horizontal="center" vertical="center" wrapText="1"/>
    </xf>
    <xf numFmtId="3" fontId="21" fillId="21" borderId="50" xfId="0" applyNumberFormat="1" applyFont="1" applyFill="1" applyBorder="1" applyAlignment="1">
      <alignment horizontal="center" vertical="center"/>
    </xf>
    <xf numFmtId="3" fontId="21" fillId="21" borderId="45" xfId="0" applyNumberFormat="1" applyFont="1" applyFill="1" applyBorder="1" applyAlignment="1">
      <alignment horizontal="center" vertical="center"/>
    </xf>
    <xf numFmtId="3" fontId="21" fillId="21" borderId="57" xfId="0" applyNumberFormat="1" applyFont="1" applyFill="1" applyBorder="1" applyAlignment="1">
      <alignment horizontal="center" vertical="center"/>
    </xf>
    <xf numFmtId="3" fontId="21" fillId="21" borderId="44" xfId="0" applyNumberFormat="1" applyFont="1" applyFill="1" applyBorder="1" applyAlignment="1">
      <alignment horizontal="center" vertical="center"/>
    </xf>
    <xf numFmtId="3" fontId="21" fillId="21" borderId="67" xfId="0" applyNumberFormat="1" applyFont="1" applyFill="1" applyBorder="1" applyAlignment="1">
      <alignment horizontal="center" vertical="center" wrapText="1"/>
    </xf>
    <xf numFmtId="3" fontId="21" fillId="21" borderId="46" xfId="0" applyNumberFormat="1" applyFont="1" applyFill="1" applyBorder="1" applyAlignment="1">
      <alignment horizontal="center" vertical="center" wrapText="1"/>
    </xf>
    <xf numFmtId="3" fontId="21" fillId="21" borderId="0" xfId="0" applyNumberFormat="1" applyFont="1" applyFill="1" applyBorder="1" applyAlignment="1">
      <alignment horizontal="center" vertical="center" wrapText="1"/>
    </xf>
    <xf numFmtId="3" fontId="22" fillId="21" borderId="75" xfId="0" applyNumberFormat="1" applyFont="1" applyFill="1" applyBorder="1" applyAlignment="1">
      <alignment horizontal="center" vertical="center" wrapText="1"/>
    </xf>
    <xf numFmtId="3" fontId="22" fillId="22" borderId="51" xfId="0" applyNumberFormat="1" applyFont="1" applyFill="1" applyBorder="1" applyAlignment="1">
      <alignment horizontal="center" vertical="center" wrapText="1"/>
    </xf>
    <xf numFmtId="3" fontId="22" fillId="22" borderId="48" xfId="0" applyNumberFormat="1" applyFont="1" applyFill="1" applyBorder="1" applyAlignment="1">
      <alignment horizontal="center" vertical="center" wrapText="1"/>
    </xf>
    <xf numFmtId="3" fontId="22" fillId="22" borderId="42" xfId="0" applyNumberFormat="1" applyFont="1" applyFill="1" applyBorder="1" applyAlignment="1">
      <alignment horizontal="center" vertical="center" wrapText="1"/>
    </xf>
    <xf numFmtId="3" fontId="22" fillId="22" borderId="83" xfId="0" applyNumberFormat="1" applyFont="1" applyFill="1" applyBorder="1" applyAlignment="1">
      <alignment horizontal="center" vertical="center" wrapText="1"/>
    </xf>
    <xf numFmtId="3" fontId="22" fillId="22" borderId="55" xfId="0" applyNumberFormat="1" applyFont="1" applyFill="1" applyBorder="1" applyAlignment="1">
      <alignment horizontal="center" vertical="center" wrapText="1"/>
    </xf>
    <xf numFmtId="3" fontId="22" fillId="22" borderId="12" xfId="0" applyNumberFormat="1" applyFont="1" applyFill="1" applyBorder="1" applyAlignment="1">
      <alignment horizontal="center" vertical="center" wrapText="1"/>
    </xf>
    <xf numFmtId="0" fontId="22" fillId="21" borderId="22" xfId="0" applyFont="1" applyFill="1" applyBorder="1" applyAlignment="1">
      <alignment horizontal="center" vertical="center" wrapText="1"/>
    </xf>
    <xf numFmtId="0" fontId="22" fillId="21" borderId="23" xfId="0" applyFont="1" applyFill="1" applyBorder="1" applyAlignment="1">
      <alignment horizontal="center" vertical="center" wrapText="1"/>
    </xf>
    <xf numFmtId="3" fontId="22" fillId="23" borderId="25" xfId="0" applyNumberFormat="1" applyFont="1" applyFill="1" applyBorder="1" applyAlignment="1">
      <alignment horizontal="center" vertical="center" wrapText="1"/>
    </xf>
    <xf numFmtId="3" fontId="22" fillId="23" borderId="35" xfId="0" applyNumberFormat="1" applyFont="1" applyFill="1" applyBorder="1" applyAlignment="1">
      <alignment horizontal="center" vertical="center" wrapText="1"/>
    </xf>
    <xf numFmtId="3" fontId="22" fillId="23" borderId="54" xfId="0" applyNumberFormat="1" applyFont="1" applyFill="1" applyBorder="1" applyAlignment="1">
      <alignment horizontal="center" vertical="center" wrapText="1"/>
    </xf>
    <xf numFmtId="3" fontId="22" fillId="24" borderId="35" xfId="0" applyNumberFormat="1" applyFont="1" applyFill="1" applyBorder="1" applyAlignment="1">
      <alignment horizontal="center" vertical="center" wrapText="1"/>
    </xf>
    <xf numFmtId="3" fontId="22" fillId="24" borderId="25" xfId="0" applyNumberFormat="1" applyFont="1" applyFill="1" applyBorder="1" applyAlignment="1">
      <alignment horizontal="center" vertical="center" wrapText="1"/>
    </xf>
    <xf numFmtId="0" fontId="22" fillId="23" borderId="23" xfId="0" applyFont="1" applyFill="1" applyBorder="1" applyAlignment="1">
      <alignment horizontal="center" vertical="center" wrapText="1"/>
    </xf>
    <xf numFmtId="0" fontId="22" fillId="23" borderId="54" xfId="0" applyFont="1" applyFill="1" applyBorder="1" applyAlignment="1">
      <alignment horizontal="center" vertical="center" wrapText="1"/>
    </xf>
    <xf numFmtId="3" fontId="22" fillId="23" borderId="55" xfId="0" applyNumberFormat="1" applyFont="1" applyFill="1" applyBorder="1" applyAlignment="1">
      <alignment horizontal="center" vertical="center" wrapText="1"/>
    </xf>
    <xf numFmtId="3" fontId="22" fillId="23" borderId="74" xfId="0" applyNumberFormat="1" applyFont="1" applyFill="1" applyBorder="1" applyAlignment="1">
      <alignment horizontal="center" vertical="center" wrapText="1"/>
    </xf>
    <xf numFmtId="3" fontId="22" fillId="21" borderId="73" xfId="0" applyNumberFormat="1" applyFont="1" applyFill="1" applyBorder="1" applyAlignment="1">
      <alignment horizontal="center" vertical="center" wrapText="1"/>
    </xf>
    <xf numFmtId="3" fontId="22" fillId="21" borderId="70" xfId="0" applyNumberFormat="1" applyFont="1" applyFill="1" applyBorder="1" applyAlignment="1">
      <alignment vertical="center"/>
    </xf>
    <xf numFmtId="3" fontId="22" fillId="21" borderId="70" xfId="0" applyNumberFormat="1" applyFont="1" applyFill="1" applyBorder="1" applyAlignment="1">
      <alignment horizontal="center" vertical="center"/>
    </xf>
    <xf numFmtId="3" fontId="22" fillId="21" borderId="72" xfId="0" applyNumberFormat="1" applyFont="1" applyFill="1" applyBorder="1" applyAlignment="1">
      <alignment horizontal="center" vertical="center"/>
    </xf>
    <xf numFmtId="3" fontId="44" fillId="21" borderId="69" xfId="0" applyNumberFormat="1" applyFont="1" applyFill="1" applyBorder="1" applyAlignment="1">
      <alignment horizontal="center" vertical="center"/>
    </xf>
    <xf numFmtId="3" fontId="22" fillId="21" borderId="37" xfId="0" applyNumberFormat="1" applyFont="1" applyFill="1" applyBorder="1" applyAlignment="1">
      <alignment horizontal="center" vertical="center" wrapText="1"/>
    </xf>
    <xf numFmtId="3" fontId="22" fillId="21" borderId="65" xfId="0" applyNumberFormat="1" applyFont="1" applyFill="1" applyBorder="1" applyAlignment="1">
      <alignment horizontal="center" vertical="center" wrapText="1"/>
    </xf>
    <xf numFmtId="0" fontId="47" fillId="13" borderId="11" xfId="0" applyFont="1" applyFill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3" fontId="21" fillId="0" borderId="39" xfId="0" applyNumberFormat="1" applyFont="1" applyBorder="1" applyAlignment="1">
      <alignment horizontal="center" vertical="center" wrapText="1"/>
    </xf>
    <xf numFmtId="3" fontId="21" fillId="0" borderId="88" xfId="0" applyNumberFormat="1" applyFont="1" applyBorder="1" applyAlignment="1">
      <alignment horizontal="center" vertical="center"/>
    </xf>
    <xf numFmtId="3" fontId="22" fillId="21" borderId="35" xfId="0" applyNumberFormat="1" applyFont="1" applyFill="1" applyBorder="1" applyAlignment="1">
      <alignment horizontal="left" vertical="center"/>
    </xf>
    <xf numFmtId="3" fontId="22" fillId="21" borderId="36" xfId="0" applyNumberFormat="1" applyFont="1" applyFill="1" applyBorder="1" applyAlignment="1">
      <alignment horizontal="left" vertical="center"/>
    </xf>
    <xf numFmtId="3" fontId="22" fillId="21" borderId="89" xfId="0" applyNumberFormat="1" applyFont="1" applyFill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" fillId="20" borderId="31" xfId="0" applyFont="1" applyFill="1" applyBorder="1" applyAlignment="1">
      <alignment horizontal="center"/>
    </xf>
    <xf numFmtId="0" fontId="1" fillId="20" borderId="32" xfId="0" applyFont="1" applyFill="1" applyBorder="1" applyAlignment="1">
      <alignment horizontal="center"/>
    </xf>
    <xf numFmtId="0" fontId="1" fillId="20" borderId="30" xfId="0" applyFont="1" applyFill="1" applyBorder="1" applyAlignment="1">
      <alignment horizontal="center" wrapText="1"/>
    </xf>
    <xf numFmtId="0" fontId="1" fillId="20" borderId="11" xfId="0" applyFont="1" applyFill="1" applyBorder="1" applyAlignment="1">
      <alignment horizontal="center" wrapText="1"/>
    </xf>
    <xf numFmtId="0" fontId="38" fillId="0" borderId="9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1" fillId="20" borderId="33" xfId="0" applyFont="1" applyFill="1" applyBorder="1" applyAlignment="1">
      <alignment horizontal="center" wrapText="1"/>
    </xf>
    <xf numFmtId="0" fontId="1" fillId="20" borderId="34" xfId="0" applyFont="1" applyFill="1" applyBorder="1" applyAlignment="1">
      <alignment horizontal="center" wrapText="1"/>
    </xf>
    <xf numFmtId="0" fontId="1" fillId="20" borderId="30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3" fillId="13" borderId="63" xfId="0" applyFont="1" applyFill="1" applyBorder="1" applyAlignment="1">
      <alignment horizontal="center" vertical="top"/>
    </xf>
    <xf numFmtId="0" fontId="31" fillId="13" borderId="14" xfId="0" applyFont="1" applyFill="1" applyBorder="1" applyAlignment="1">
      <alignment horizontal="center" vertical="top" wrapText="1"/>
    </xf>
    <xf numFmtId="0" fontId="31" fillId="13" borderId="15" xfId="0" applyFont="1" applyFill="1" applyBorder="1" applyAlignment="1">
      <alignment horizontal="center" vertical="top" wrapText="1"/>
    </xf>
    <xf numFmtId="0" fontId="31" fillId="13" borderId="59" xfId="0" applyFont="1" applyFill="1" applyBorder="1" applyAlignment="1">
      <alignment horizontal="center" vertical="top" wrapText="1"/>
    </xf>
    <xf numFmtId="0" fontId="31" fillId="13" borderId="17" xfId="0" applyFont="1" applyFill="1" applyBorder="1" applyAlignment="1">
      <alignment horizontal="center" vertical="top" wrapText="1"/>
    </xf>
    <xf numFmtId="0" fontId="31" fillId="13" borderId="19" xfId="0" applyFont="1" applyFill="1" applyBorder="1" applyAlignment="1">
      <alignment horizontal="center" vertical="top" wrapText="1"/>
    </xf>
    <xf numFmtId="0" fontId="31" fillId="13" borderId="18" xfId="0" applyFont="1" applyFill="1" applyBorder="1" applyAlignment="1">
      <alignment horizontal="center" vertical="top" wrapText="1"/>
    </xf>
    <xf numFmtId="0" fontId="31" fillId="13" borderId="10" xfId="0" applyFont="1" applyFill="1" applyBorder="1" applyAlignment="1">
      <alignment horizontal="center" vertical="top" wrapText="1"/>
    </xf>
    <xf numFmtId="0" fontId="31" fillId="13" borderId="16" xfId="0" applyFont="1" applyFill="1" applyBorder="1" applyAlignment="1">
      <alignment horizontal="center" vertical="top" wrapText="1"/>
    </xf>
    <xf numFmtId="1" fontId="31" fillId="13" borderId="59" xfId="0" applyNumberFormat="1" applyFont="1" applyFill="1" applyBorder="1" applyAlignment="1">
      <alignment horizontal="center" vertical="top" wrapText="1"/>
    </xf>
    <xf numFmtId="1" fontId="31" fillId="13" borderId="17" xfId="0" applyNumberFormat="1" applyFont="1" applyFill="1" applyBorder="1" applyAlignment="1">
      <alignment horizontal="center" vertical="top" wrapText="1"/>
    </xf>
    <xf numFmtId="1" fontId="31" fillId="13" borderId="19" xfId="0" applyNumberFormat="1" applyFont="1" applyFill="1" applyBorder="1" applyAlignment="1">
      <alignment horizontal="center" vertical="top" wrapText="1"/>
    </xf>
    <xf numFmtId="1" fontId="31" fillId="13" borderId="18" xfId="0" applyNumberFormat="1" applyFont="1" applyFill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1" fillId="13" borderId="10" xfId="0" applyNumberFormat="1" applyFont="1" applyFill="1" applyBorder="1" applyAlignment="1">
      <alignment horizontal="center" vertical="top" wrapText="1"/>
    </xf>
    <xf numFmtId="1" fontId="31" fillId="13" borderId="16" xfId="0" applyNumberFormat="1" applyFont="1" applyFill="1" applyBorder="1" applyAlignment="1">
      <alignment horizontal="center" vertical="top" wrapText="1"/>
    </xf>
    <xf numFmtId="1" fontId="31" fillId="13" borderId="14" xfId="0" applyNumberFormat="1" applyFont="1" applyFill="1" applyBorder="1" applyAlignment="1">
      <alignment horizontal="center" vertical="center"/>
    </xf>
    <xf numFmtId="1" fontId="31" fillId="13" borderId="50" xfId="0" applyNumberFormat="1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 wrapText="1"/>
    </xf>
    <xf numFmtId="1" fontId="31" fillId="14" borderId="10" xfId="0" applyNumberFormat="1" applyFont="1" applyFill="1" applyBorder="1" applyAlignment="1">
      <alignment horizontal="center" vertical="center" wrapText="1"/>
    </xf>
    <xf numFmtId="1" fontId="31" fillId="14" borderId="16" xfId="0" applyNumberFormat="1" applyFont="1" applyFill="1" applyBorder="1" applyAlignment="1">
      <alignment horizontal="center" vertical="center" wrapText="1"/>
    </xf>
    <xf numFmtId="1" fontId="31" fillId="13" borderId="10" xfId="0" applyNumberFormat="1" applyFont="1" applyFill="1" applyBorder="1" applyAlignment="1">
      <alignment horizontal="center" vertical="center" wrapText="1"/>
    </xf>
    <xf numFmtId="1" fontId="31" fillId="13" borderId="16" xfId="0" applyNumberFormat="1" applyFont="1" applyFill="1" applyBorder="1" applyAlignment="1">
      <alignment horizontal="center" vertical="center" wrapText="1"/>
    </xf>
    <xf numFmtId="1" fontId="32" fillId="13" borderId="59" xfId="0" applyNumberFormat="1" applyFont="1" applyFill="1" applyBorder="1" applyAlignment="1">
      <alignment horizontal="center" vertical="center" wrapText="1"/>
    </xf>
    <xf numFmtId="1" fontId="32" fillId="13" borderId="63" xfId="0" applyNumberFormat="1" applyFont="1" applyFill="1" applyBorder="1" applyAlignment="1">
      <alignment horizontal="center" vertical="center" wrapText="1"/>
    </xf>
    <xf numFmtId="1" fontId="36" fillId="13" borderId="14" xfId="0" applyNumberFormat="1" applyFont="1" applyFill="1" applyBorder="1" applyAlignment="1">
      <alignment horizontal="center" vertical="center" wrapText="1"/>
    </xf>
    <xf numFmtId="1" fontId="36" fillId="13" borderId="50" xfId="0" applyNumberFormat="1" applyFont="1" applyFill="1" applyBorder="1" applyAlignment="1">
      <alignment horizontal="center" vertical="center" wrapText="1"/>
    </xf>
    <xf numFmtId="1" fontId="31" fillId="15" borderId="10" xfId="0" applyNumberFormat="1" applyFont="1" applyFill="1" applyBorder="1" applyAlignment="1">
      <alignment horizontal="center" vertical="top" wrapText="1"/>
    </xf>
    <xf numFmtId="1" fontId="31" fillId="15" borderId="16" xfId="0" applyNumberFormat="1" applyFont="1" applyFill="1" applyBorder="1" applyAlignment="1">
      <alignment horizontal="center" vertical="top" wrapText="1"/>
    </xf>
    <xf numFmtId="1" fontId="36" fillId="13" borderId="59" xfId="0" applyNumberFormat="1" applyFont="1" applyFill="1" applyBorder="1" applyAlignment="1">
      <alignment horizontal="center" vertical="center" wrapText="1"/>
    </xf>
    <xf numFmtId="1" fontId="36" fillId="13" borderId="63" xfId="0" applyNumberFormat="1" applyFont="1" applyFill="1" applyBorder="1" applyAlignment="1">
      <alignment horizontal="center" vertical="center" wrapText="1"/>
    </xf>
    <xf numFmtId="1" fontId="36" fillId="13" borderId="15" xfId="0" applyNumberFormat="1" applyFont="1" applyFill="1" applyBorder="1" applyAlignment="1">
      <alignment horizontal="center" vertical="center" wrapText="1"/>
    </xf>
    <xf numFmtId="0" fontId="34" fillId="13" borderId="62" xfId="0" applyFont="1" applyFill="1" applyBorder="1" applyAlignment="1">
      <alignment horizontal="left" vertical="center" wrapText="1"/>
    </xf>
    <xf numFmtId="0" fontId="34" fillId="13" borderId="15" xfId="0" applyFont="1" applyFill="1" applyBorder="1" applyAlignment="1">
      <alignment horizontal="left" vertical="center" wrapText="1"/>
    </xf>
    <xf numFmtId="1" fontId="36" fillId="13" borderId="26" xfId="0" applyNumberFormat="1" applyFont="1" applyFill="1" applyBorder="1" applyAlignment="1">
      <alignment horizontal="center" vertical="center" wrapText="1"/>
    </xf>
    <xf numFmtId="1" fontId="36" fillId="13" borderId="49" xfId="0" applyNumberFormat="1" applyFont="1" applyFill="1" applyBorder="1" applyAlignment="1">
      <alignment horizontal="center" vertical="center" wrapText="1"/>
    </xf>
    <xf numFmtId="0" fontId="32" fillId="13" borderId="59" xfId="0" applyFont="1" applyFill="1" applyBorder="1" applyAlignment="1">
      <alignment horizontal="center" vertical="center" wrapText="1"/>
    </xf>
    <xf numFmtId="0" fontId="32" fillId="13" borderId="17" xfId="0" applyFont="1" applyFill="1" applyBorder="1" applyAlignment="1">
      <alignment horizontal="center" vertical="center" wrapText="1"/>
    </xf>
    <xf numFmtId="0" fontId="34" fillId="13" borderId="54" xfId="0" applyFont="1" applyFill="1" applyBorder="1" applyAlignment="1">
      <alignment horizontal="center" vertical="center" wrapText="1"/>
    </xf>
    <xf numFmtId="0" fontId="34" fillId="13" borderId="47" xfId="0" applyFont="1" applyFill="1" applyBorder="1" applyAlignment="1">
      <alignment horizontal="center" vertical="center" wrapText="1"/>
    </xf>
    <xf numFmtId="0" fontId="34" fillId="13" borderId="55" xfId="0" applyFont="1" applyFill="1" applyBorder="1" applyAlignment="1">
      <alignment horizontal="center" vertical="center" wrapText="1"/>
    </xf>
    <xf numFmtId="0" fontId="34" fillId="13" borderId="62" xfId="0" applyFont="1" applyFill="1" applyBorder="1" applyAlignment="1">
      <alignment vertical="center" wrapText="1"/>
    </xf>
    <xf numFmtId="0" fontId="34" fillId="13" borderId="15" xfId="0" applyFont="1" applyFill="1" applyBorder="1" applyAlignment="1">
      <alignment vertical="center" wrapText="1"/>
    </xf>
    <xf numFmtId="0" fontId="34" fillId="13" borderId="87" xfId="0" applyFont="1" applyFill="1" applyBorder="1" applyAlignment="1">
      <alignment vertical="center" wrapText="1"/>
    </xf>
    <xf numFmtId="0" fontId="34" fillId="13" borderId="61" xfId="0" applyFont="1" applyFill="1" applyBorder="1" applyAlignment="1">
      <alignment vertical="center" wrapText="1"/>
    </xf>
    <xf numFmtId="1" fontId="36" fillId="13" borderId="61" xfId="0" applyNumberFormat="1" applyFont="1" applyFill="1" applyBorder="1" applyAlignment="1">
      <alignment horizontal="center" vertical="center" wrapText="1"/>
    </xf>
    <xf numFmtId="1" fontId="36" fillId="13" borderId="90" xfId="0" applyNumberFormat="1" applyFont="1" applyFill="1" applyBorder="1" applyAlignment="1">
      <alignment horizontal="center" vertical="center" wrapText="1"/>
    </xf>
    <xf numFmtId="1" fontId="36" fillId="13" borderId="66" xfId="0" applyNumberFormat="1" applyFont="1" applyFill="1" applyBorder="1" applyAlignment="1">
      <alignment horizontal="center" vertical="center" wrapText="1"/>
    </xf>
    <xf numFmtId="0" fontId="34" fillId="13" borderId="26" xfId="0" applyFont="1" applyFill="1" applyBorder="1" applyAlignment="1">
      <alignment horizontal="center" vertical="center" wrapText="1"/>
    </xf>
    <xf numFmtId="0" fontId="34" fillId="13" borderId="61" xfId="0" applyFont="1" applyFill="1" applyBorder="1" applyAlignment="1">
      <alignment horizontal="center" vertical="center" wrapText="1"/>
    </xf>
    <xf numFmtId="0" fontId="34" fillId="13" borderId="39" xfId="0" applyFont="1" applyFill="1" applyBorder="1" applyAlignment="1">
      <alignment horizontal="center" vertical="center" wrapText="1"/>
    </xf>
    <xf numFmtId="0" fontId="34" fillId="13" borderId="27" xfId="0" applyFont="1" applyFill="1" applyBorder="1" applyAlignment="1">
      <alignment horizontal="center" vertical="center" wrapText="1"/>
    </xf>
    <xf numFmtId="0" fontId="34" fillId="13" borderId="74" xfId="0" applyFont="1" applyFill="1" applyBorder="1" applyAlignment="1">
      <alignment horizontal="center" vertical="center" wrapText="1"/>
    </xf>
    <xf numFmtId="0" fontId="34" fillId="13" borderId="26" xfId="0" applyFont="1" applyFill="1" applyBorder="1" applyAlignment="1">
      <alignment horizontal="left" vertical="center" wrapText="1"/>
    </xf>
    <xf numFmtId="0" fontId="34" fillId="13" borderId="61" xfId="0" applyFont="1" applyFill="1" applyBorder="1" applyAlignment="1">
      <alignment horizontal="left" vertical="center" wrapText="1"/>
    </xf>
    <xf numFmtId="0" fontId="34" fillId="13" borderId="14" xfId="0" applyFont="1" applyFill="1" applyBorder="1" applyAlignment="1">
      <alignment horizontal="left" vertical="center" wrapText="1"/>
    </xf>
    <xf numFmtId="0" fontId="34" fillId="13" borderId="90" xfId="0" applyFont="1" applyFill="1" applyBorder="1" applyAlignment="1">
      <alignment horizontal="center" vertical="center" wrapText="1"/>
    </xf>
    <xf numFmtId="0" fontId="34" fillId="13" borderId="66" xfId="0" applyFont="1" applyFill="1" applyBorder="1" applyAlignment="1">
      <alignment horizontal="center" vertical="center" wrapText="1"/>
    </xf>
    <xf numFmtId="0" fontId="34" fillId="13" borderId="14" xfId="0" applyFont="1" applyFill="1" applyBorder="1" applyAlignment="1">
      <alignment horizontal="center" vertical="center" wrapText="1"/>
    </xf>
    <xf numFmtId="0" fontId="34" fillId="13" borderId="1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1" fillId="0" borderId="81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166" fontId="28" fillId="0" borderId="65" xfId="11" applyNumberFormat="1" applyFont="1" applyFill="1" applyBorder="1" applyAlignment="1">
      <alignment horizontal="center" vertical="center"/>
    </xf>
    <xf numFmtId="166" fontId="28" fillId="0" borderId="91" xfId="11" applyNumberFormat="1" applyFont="1" applyFill="1" applyBorder="1" applyAlignment="1">
      <alignment horizontal="center" vertical="center"/>
    </xf>
    <xf numFmtId="166" fontId="28" fillId="0" borderId="73" xfId="11" applyNumberFormat="1" applyFont="1" applyFill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21" fillId="0" borderId="92" xfId="0" applyNumberFormat="1" applyFont="1" applyFill="1" applyBorder="1" applyAlignment="1">
      <alignment horizontal="center" vertical="center"/>
    </xf>
    <xf numFmtId="0" fontId="21" fillId="0" borderId="93" xfId="0" applyNumberFormat="1" applyFont="1" applyFill="1" applyBorder="1" applyAlignment="1">
      <alignment horizontal="center" vertical="center"/>
    </xf>
    <xf numFmtId="166" fontId="2" fillId="0" borderId="65" xfId="0" applyNumberFormat="1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3" fontId="22" fillId="25" borderId="48" xfId="0" applyNumberFormat="1" applyFont="1" applyFill="1" applyBorder="1" applyAlignment="1">
      <alignment horizontal="center" vertical="center" wrapText="1"/>
    </xf>
  </cellXfs>
  <cellStyles count="31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" xfId="11" builtinId="4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2" xfId="20"/>
    <cellStyle name="Обычный 2 2" xfId="21"/>
    <cellStyle name="Обычный_Итоги деятельности (2)" xfId="22"/>
    <cellStyle name="Плохой" xfId="23" builtinId="27" customBuiltin="1"/>
    <cellStyle name="Пояснение" xfId="24" builtinId="53" customBuiltin="1"/>
    <cellStyle name="Примечание" xfId="25" builtinId="10" customBuiltin="1"/>
    <cellStyle name="Процентный 2" xfId="26"/>
    <cellStyle name="Связанная ячейка" xfId="27" builtinId="24" customBuiltin="1"/>
    <cellStyle name="Текст предупреждения" xfId="28" builtinId="11" customBuiltin="1"/>
    <cellStyle name="Финансовый 2" xfId="29"/>
    <cellStyle name="Хороший" xfId="30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7"/>
  <sheetViews>
    <sheetView zoomScaleNormal="100" workbookViewId="0">
      <pane xSplit="1" topLeftCell="B1" activePane="topRight" state="frozen"/>
      <selection pane="topRight" activeCell="M27" sqref="M27"/>
    </sheetView>
  </sheetViews>
  <sheetFormatPr defaultColWidth="13" defaultRowHeight="13.2"/>
  <cols>
    <col min="1" max="1" width="47.44140625" style="9" customWidth="1"/>
    <col min="2" max="3" width="13" style="8"/>
    <col min="4" max="4" width="14.5546875" style="96" customWidth="1"/>
    <col min="5" max="5" width="14.5546875" style="10" customWidth="1"/>
    <col min="6" max="9" width="13" style="9"/>
    <col min="10" max="10" width="13" style="10"/>
    <col min="11" max="11" width="14.88671875" style="10" customWidth="1"/>
    <col min="12" max="16" width="13" style="9"/>
    <col min="17" max="17" width="13.6640625" style="9" customWidth="1"/>
    <col min="18" max="41" width="14.33203125" style="9" customWidth="1"/>
    <col min="42" max="16384" width="13" style="9"/>
  </cols>
  <sheetData>
    <row r="1" spans="1:41" ht="16.5" customHeight="1" thickBot="1">
      <c r="A1" s="239" t="s">
        <v>154</v>
      </c>
      <c r="B1" s="22"/>
      <c r="C1" s="22"/>
      <c r="D1" s="95"/>
    </row>
    <row r="2" spans="1:41" ht="28.2" customHeight="1" thickBot="1">
      <c r="A2" s="350"/>
      <c r="B2" s="64" t="s">
        <v>58</v>
      </c>
      <c r="C2" s="64" t="s">
        <v>59</v>
      </c>
      <c r="D2" s="343" t="s">
        <v>68</v>
      </c>
      <c r="E2" s="349" t="s">
        <v>56</v>
      </c>
      <c r="F2" s="63" t="s">
        <v>60</v>
      </c>
      <c r="G2" s="63" t="s">
        <v>61</v>
      </c>
      <c r="H2" s="63" t="s">
        <v>62</v>
      </c>
      <c r="I2" s="63" t="s">
        <v>63</v>
      </c>
      <c r="J2" s="342" t="s">
        <v>69</v>
      </c>
      <c r="K2" s="349" t="s">
        <v>57</v>
      </c>
      <c r="L2" s="90" t="s">
        <v>98</v>
      </c>
      <c r="M2" s="90" t="s">
        <v>99</v>
      </c>
      <c r="N2" s="90" t="s">
        <v>100</v>
      </c>
      <c r="O2" s="90" t="s">
        <v>101</v>
      </c>
      <c r="P2" s="342" t="s">
        <v>96</v>
      </c>
      <c r="Q2" s="349" t="s">
        <v>97</v>
      </c>
      <c r="R2" s="63" t="s">
        <v>133</v>
      </c>
      <c r="S2" s="63" t="s">
        <v>134</v>
      </c>
      <c r="T2" s="63" t="s">
        <v>135</v>
      </c>
      <c r="U2" s="63" t="s">
        <v>136</v>
      </c>
      <c r="V2" s="342" t="s">
        <v>137</v>
      </c>
      <c r="W2" s="349" t="s">
        <v>138</v>
      </c>
      <c r="X2" s="91" t="s">
        <v>139</v>
      </c>
      <c r="Y2" s="91" t="s">
        <v>140</v>
      </c>
      <c r="Z2" s="91" t="s">
        <v>141</v>
      </c>
      <c r="AA2" s="91" t="s">
        <v>142</v>
      </c>
      <c r="AB2" s="342" t="s">
        <v>143</v>
      </c>
      <c r="AC2" s="349" t="s">
        <v>144</v>
      </c>
      <c r="AD2" s="63" t="s">
        <v>163</v>
      </c>
      <c r="AE2" s="63" t="s">
        <v>164</v>
      </c>
      <c r="AF2" s="63" t="s">
        <v>165</v>
      </c>
      <c r="AG2" s="63" t="s">
        <v>166</v>
      </c>
      <c r="AH2" s="342" t="s">
        <v>167</v>
      </c>
      <c r="AI2" s="349" t="s">
        <v>168</v>
      </c>
      <c r="AJ2" s="63" t="s">
        <v>192</v>
      </c>
      <c r="AK2" s="63" t="s">
        <v>193</v>
      </c>
      <c r="AL2" s="63" t="s">
        <v>194</v>
      </c>
      <c r="AM2" s="63" t="s">
        <v>195</v>
      </c>
      <c r="AN2" s="342" t="s">
        <v>196</v>
      </c>
      <c r="AO2" s="349" t="s">
        <v>197</v>
      </c>
    </row>
    <row r="3" spans="1:41" s="72" customFormat="1" ht="16.2" customHeight="1" thickBot="1">
      <c r="A3" s="300" t="s">
        <v>0</v>
      </c>
      <c r="B3" s="301">
        <f>B4+B5</f>
        <v>664199648</v>
      </c>
      <c r="C3" s="302">
        <f>C4+C5</f>
        <v>0</v>
      </c>
      <c r="D3" s="303">
        <f>SUM(B3:C3)</f>
        <v>664199648</v>
      </c>
      <c r="E3" s="344">
        <f>SUM(D3)</f>
        <v>664199648</v>
      </c>
      <c r="F3" s="304">
        <f>F4+F5</f>
        <v>0</v>
      </c>
      <c r="G3" s="304">
        <f>G4+G5</f>
        <v>0</v>
      </c>
      <c r="H3" s="304">
        <f>H4+H5</f>
        <v>0</v>
      </c>
      <c r="I3" s="304">
        <f>I4+I5</f>
        <v>0</v>
      </c>
      <c r="J3" s="305">
        <f>SUM(F3:I3)</f>
        <v>0</v>
      </c>
      <c r="K3" s="344">
        <f t="shared" ref="K3:K16" si="0">SUM(J3+E3)</f>
        <v>664199648</v>
      </c>
      <c r="L3" s="304">
        <f>SUM(L4:L5)</f>
        <v>0</v>
      </c>
      <c r="M3" s="304">
        <f>SUM(M4:M5)</f>
        <v>0</v>
      </c>
      <c r="N3" s="306">
        <f>SUM(N4:N5)</f>
        <v>188187590.25</v>
      </c>
      <c r="O3" s="300">
        <f>SUM(O4:O5)</f>
        <v>188187590.25</v>
      </c>
      <c r="P3" s="307">
        <f>SUM(L3:O3)</f>
        <v>376375180.5</v>
      </c>
      <c r="Q3" s="345">
        <f>SUM(P3+K3)</f>
        <v>1040574828.5</v>
      </c>
      <c r="R3" s="300">
        <f>SUM(R4:R5)</f>
        <v>188187590.25</v>
      </c>
      <c r="S3" s="304">
        <f>SUM(S4:S5)</f>
        <v>188187590.25</v>
      </c>
      <c r="T3" s="304">
        <f>SUM(T4:T5)</f>
        <v>188187590.25</v>
      </c>
      <c r="U3" s="300">
        <f>SUM(U4:U5)</f>
        <v>188187590.25</v>
      </c>
      <c r="V3" s="307">
        <f>SUM(R3:U3)</f>
        <v>752750361</v>
      </c>
      <c r="W3" s="345">
        <f>SUM(V3+Q3)</f>
        <v>1793325189.5</v>
      </c>
      <c r="X3" s="300">
        <f>SUM(X4:X5)</f>
        <v>188187590.25</v>
      </c>
      <c r="Y3" s="309">
        <f>SUM(Y4:Y5)</f>
        <v>188187590.25</v>
      </c>
      <c r="Z3" s="310">
        <f>SUM(Z4:Z5)</f>
        <v>188187590.25</v>
      </c>
      <c r="AA3" s="311">
        <f>SUM(AA4:AA5)</f>
        <v>188187590.25</v>
      </c>
      <c r="AB3" s="312">
        <f>SUM(X3:AA3)</f>
        <v>752750361</v>
      </c>
      <c r="AC3" s="344">
        <f>SUM(AB3+W3)</f>
        <v>2546075550.5</v>
      </c>
      <c r="AD3" s="304">
        <f>SUM(AD4:AD5)</f>
        <v>188187590.25</v>
      </c>
      <c r="AE3" s="304">
        <f>SUM(AE4:AE5)</f>
        <v>188187590.25</v>
      </c>
      <c r="AF3" s="309">
        <f>SUM(AF4:AF5)</f>
        <v>188187590.25</v>
      </c>
      <c r="AG3" s="311">
        <f>SUM(AG4:AG5)</f>
        <v>188187590.25</v>
      </c>
      <c r="AH3" s="307">
        <f>SUM(AD3:AG3)</f>
        <v>752750361</v>
      </c>
      <c r="AI3" s="345">
        <f t="shared" ref="AI3:AI16" si="1">SUM(AH3+AC3)</f>
        <v>3298825911.5</v>
      </c>
      <c r="AJ3" s="300">
        <f>SUM(AJ4:AJ5)</f>
        <v>188187590.25</v>
      </c>
      <c r="AK3" s="306">
        <f>SUM(AK4:AK5)</f>
        <v>188187590.25</v>
      </c>
      <c r="AL3" s="300">
        <f>SUM(AL4:AL5)</f>
        <v>188187590.25</v>
      </c>
      <c r="AM3" s="300">
        <f>SUM(AM4:AM5)</f>
        <v>188187590.25</v>
      </c>
      <c r="AN3" s="307">
        <f>SUM(AJ3:AM3)</f>
        <v>752750361</v>
      </c>
      <c r="AO3" s="344">
        <f>SUM(AN3+AI3)</f>
        <v>4051576272.5</v>
      </c>
    </row>
    <row r="4" spans="1:41" s="75" customFormat="1" ht="16.2" customHeight="1" thickBot="1">
      <c r="A4" s="105" t="s">
        <v>73</v>
      </c>
      <c r="B4" s="238">
        <f>SUM('Калькуляция установок'!J12)</f>
        <v>664199648</v>
      </c>
      <c r="C4" s="74"/>
      <c r="D4" s="303">
        <f t="shared" ref="D4:D17" si="2">SUM(B4:C4)</f>
        <v>664199648</v>
      </c>
      <c r="E4" s="344">
        <f t="shared" ref="E4:E18" si="3">SUM(D4)</f>
        <v>664199648</v>
      </c>
      <c r="F4" s="74"/>
      <c r="G4" s="74"/>
      <c r="H4" s="94"/>
      <c r="I4" s="123"/>
      <c r="J4" s="305">
        <f t="shared" ref="J4:J16" si="4">SUM(F4:I4)</f>
        <v>0</v>
      </c>
      <c r="K4" s="344">
        <f t="shared" si="0"/>
        <v>664199648</v>
      </c>
      <c r="L4" s="74"/>
      <c r="M4" s="74"/>
      <c r="N4" s="94"/>
      <c r="O4" s="105"/>
      <c r="P4" s="307">
        <f t="shared" ref="P4:P16" si="5">SUM(L4:O4)</f>
        <v>0</v>
      </c>
      <c r="Q4" s="345">
        <f>SUM(P4+K4)</f>
        <v>664199648</v>
      </c>
      <c r="R4" s="105"/>
      <c r="S4" s="74"/>
      <c r="T4" s="74"/>
      <c r="U4" s="105"/>
      <c r="V4" s="307">
        <f>SUM(R4:U4)</f>
        <v>0</v>
      </c>
      <c r="W4" s="345">
        <f>SUM(V4+Q4)</f>
        <v>664199648</v>
      </c>
      <c r="X4" s="73">
        <v>0</v>
      </c>
      <c r="Y4" s="124"/>
      <c r="Z4" s="124"/>
      <c r="AA4" s="124"/>
      <c r="AB4" s="312">
        <f t="shared" ref="AB4:AB17" si="6">SUM(X4:AA4)</f>
        <v>0</v>
      </c>
      <c r="AC4" s="344">
        <f>SUM(AB4+W4)</f>
        <v>664199648</v>
      </c>
      <c r="AD4" s="74"/>
      <c r="AE4" s="94"/>
      <c r="AF4" s="123"/>
      <c r="AG4" s="125"/>
      <c r="AH4" s="307">
        <f t="shared" ref="AH4:AH17" si="7">SUM(AD4:AG4)</f>
        <v>0</v>
      </c>
      <c r="AI4" s="345">
        <f t="shared" si="1"/>
        <v>664199648</v>
      </c>
      <c r="AJ4" s="105"/>
      <c r="AK4" s="94"/>
      <c r="AL4" s="105"/>
      <c r="AM4" s="105"/>
      <c r="AN4" s="307">
        <f t="shared" ref="AN4:AN17" si="8">SUM(AJ4:AM4)</f>
        <v>0</v>
      </c>
      <c r="AO4" s="344">
        <f>SUM(AN4+AI4)</f>
        <v>664199648</v>
      </c>
    </row>
    <row r="5" spans="1:41" s="75" customFormat="1" ht="18" customHeight="1" thickBot="1">
      <c r="A5" s="313" t="s">
        <v>153</v>
      </c>
      <c r="B5" s="314">
        <f>SUM('1. Доходы'!E12)</f>
        <v>0</v>
      </c>
      <c r="C5" s="315">
        <f>SUM('1. Доходы'!F12)</f>
        <v>0</v>
      </c>
      <c r="D5" s="303">
        <f t="shared" si="2"/>
        <v>0</v>
      </c>
      <c r="E5" s="344">
        <f t="shared" si="3"/>
        <v>0</v>
      </c>
      <c r="F5" s="316">
        <f>SUM('1. Доходы'!I12)</f>
        <v>0</v>
      </c>
      <c r="G5" s="316">
        <f>SUM('1. Доходы'!J12)</f>
        <v>0</v>
      </c>
      <c r="H5" s="316">
        <f>SUM('1. Доходы'!K12)</f>
        <v>0</v>
      </c>
      <c r="I5" s="316">
        <f>SUM('1. Доходы'!L12)</f>
        <v>0</v>
      </c>
      <c r="J5" s="305">
        <f t="shared" si="4"/>
        <v>0</v>
      </c>
      <c r="K5" s="344">
        <f t="shared" si="0"/>
        <v>0</v>
      </c>
      <c r="L5" s="316">
        <f>SUM('1. Доходы'!O12)</f>
        <v>0</v>
      </c>
      <c r="M5" s="316">
        <f>SUM('1. Доходы'!P12)</f>
        <v>0</v>
      </c>
      <c r="N5" s="316">
        <f>SUM('1. Доходы'!Q12)</f>
        <v>188187590.25</v>
      </c>
      <c r="O5" s="316">
        <f>SUM('1. Доходы'!R12)</f>
        <v>188187590.25</v>
      </c>
      <c r="P5" s="307">
        <f t="shared" si="5"/>
        <v>376375180.5</v>
      </c>
      <c r="Q5" s="345">
        <f>SUM(P5+K5)</f>
        <v>376375180.5</v>
      </c>
      <c r="R5" s="313">
        <f>SUM('1. Доходы'!U12)</f>
        <v>188187590.25</v>
      </c>
      <c r="S5" s="313">
        <f>SUM('1. Доходы'!V12)</f>
        <v>188187590.25</v>
      </c>
      <c r="T5" s="313">
        <f>SUM('1. Доходы'!W12)</f>
        <v>188187590.25</v>
      </c>
      <c r="U5" s="313">
        <f>SUM('1. Доходы'!X12)</f>
        <v>188187590.25</v>
      </c>
      <c r="V5" s="307">
        <f>SUM(R5:U5)</f>
        <v>752750361</v>
      </c>
      <c r="W5" s="345">
        <f>SUM(V5+Q5)</f>
        <v>1129125541.5</v>
      </c>
      <c r="X5" s="317">
        <f>SUM('1. Доходы'!AA12)</f>
        <v>188187590.25</v>
      </c>
      <c r="Y5" s="317">
        <f>SUM('1. Доходы'!AB12)</f>
        <v>188187590.25</v>
      </c>
      <c r="Z5" s="317">
        <f>SUM('1. Доходы'!AC12)</f>
        <v>188187590.25</v>
      </c>
      <c r="AA5" s="317">
        <f>SUM('1. Доходы'!AD12)</f>
        <v>188187590.25</v>
      </c>
      <c r="AB5" s="312">
        <f t="shared" si="6"/>
        <v>752750361</v>
      </c>
      <c r="AC5" s="344">
        <f>SUM(AB5+W5)</f>
        <v>1881875902.5</v>
      </c>
      <c r="AD5" s="316">
        <f>SUM('1. Доходы'!AG12)</f>
        <v>188187590.25</v>
      </c>
      <c r="AE5" s="316">
        <f>SUM('1. Доходы'!AH12)</f>
        <v>188187590.25</v>
      </c>
      <c r="AF5" s="316">
        <f>SUM('1. Доходы'!AI12)</f>
        <v>188187590.25</v>
      </c>
      <c r="AG5" s="316">
        <f>SUM('1. Доходы'!AJ12)</f>
        <v>188187590.25</v>
      </c>
      <c r="AH5" s="307">
        <f t="shared" si="7"/>
        <v>752750361</v>
      </c>
      <c r="AI5" s="345">
        <f t="shared" si="1"/>
        <v>2634626263.5</v>
      </c>
      <c r="AJ5" s="313">
        <f>SUM('1. Доходы'!AM12)</f>
        <v>188187590.25</v>
      </c>
      <c r="AK5" s="313">
        <f>SUM('1. Доходы'!AN12)</f>
        <v>188187590.25</v>
      </c>
      <c r="AL5" s="313">
        <f>SUM('1. Доходы'!AO12)</f>
        <v>188187590.25</v>
      </c>
      <c r="AM5" s="313">
        <f>SUM('1. Доходы'!AP12)</f>
        <v>188187590.25</v>
      </c>
      <c r="AN5" s="307">
        <f t="shared" si="8"/>
        <v>752750361</v>
      </c>
      <c r="AO5" s="344">
        <f>SUM(AN5+AI5)</f>
        <v>3387376624.5</v>
      </c>
    </row>
    <row r="6" spans="1:41" s="72" customFormat="1" ht="16.2" customHeight="1" thickBot="1">
      <c r="A6" s="318" t="s">
        <v>1</v>
      </c>
      <c r="B6" s="307">
        <f>SUM(B7:B16)</f>
        <v>178414956</v>
      </c>
      <c r="C6" s="318">
        <f>SUM(C7:C16)</f>
        <v>236254956</v>
      </c>
      <c r="D6" s="303">
        <f t="shared" si="2"/>
        <v>414669912</v>
      </c>
      <c r="E6" s="344">
        <f t="shared" si="3"/>
        <v>414669912</v>
      </c>
      <c r="F6" s="318">
        <f>SUM(F7:F16)</f>
        <v>92654956</v>
      </c>
      <c r="G6" s="318">
        <f>SUM(G7:G16)</f>
        <v>8494956</v>
      </c>
      <c r="H6" s="307">
        <f>SUM(H7:H16)</f>
        <v>31496956</v>
      </c>
      <c r="I6" s="318">
        <f>SUM(I7:I16)</f>
        <v>46216956</v>
      </c>
      <c r="J6" s="305">
        <f t="shared" si="4"/>
        <v>178863824</v>
      </c>
      <c r="K6" s="345">
        <f t="shared" si="0"/>
        <v>593533736</v>
      </c>
      <c r="L6" s="318">
        <f>SUM(L7:L16)</f>
        <v>12828956</v>
      </c>
      <c r="M6" s="318">
        <f>SUM(M7:M16)</f>
        <v>21496956</v>
      </c>
      <c r="N6" s="307">
        <f>SUM(N7:N16)</f>
        <v>21496956</v>
      </c>
      <c r="O6" s="318">
        <f>SUM(O7:O16)</f>
        <v>70936956</v>
      </c>
      <c r="P6" s="307">
        <f t="shared" si="5"/>
        <v>126759824</v>
      </c>
      <c r="Q6" s="345">
        <f>SUM(P6+K6)</f>
        <v>720293560</v>
      </c>
      <c r="R6" s="318">
        <f>SUM(R7:R16)</f>
        <v>19750556</v>
      </c>
      <c r="S6" s="319">
        <f>SUM(S7:S16)</f>
        <v>28418556</v>
      </c>
      <c r="T6" s="307">
        <f>SUM(T7:T16)</f>
        <v>28418556</v>
      </c>
      <c r="U6" s="318">
        <f>SUM(U7:U16)</f>
        <v>28418556</v>
      </c>
      <c r="V6" s="307">
        <f t="shared" ref="V6:V17" si="9">SUM(R6:U6)</f>
        <v>105006224</v>
      </c>
      <c r="W6" s="345">
        <f>SUM(V6+Q6)</f>
        <v>825299784</v>
      </c>
      <c r="X6" s="318">
        <f>SUM(X8:X16)</f>
        <v>19750556</v>
      </c>
      <c r="Y6" s="320">
        <f>SUM(Y8:Y16)</f>
        <v>28418556</v>
      </c>
      <c r="Z6" s="321">
        <f>SUM(Z8:Z16)</f>
        <v>28418556</v>
      </c>
      <c r="AA6" s="322">
        <f>SUM(AA8:AA16)</f>
        <v>28418556</v>
      </c>
      <c r="AB6" s="312">
        <f t="shared" si="6"/>
        <v>105006224</v>
      </c>
      <c r="AC6" s="344">
        <f>SUM(AB6+W6)</f>
        <v>930306008</v>
      </c>
      <c r="AD6" s="318">
        <f>SUM(AD8:AD16)</f>
        <v>19750556</v>
      </c>
      <c r="AE6" s="307">
        <f>SUM(AE8:AE16)</f>
        <v>28418556</v>
      </c>
      <c r="AF6" s="318">
        <f>SUM(AF8:AF16)</f>
        <v>28418556</v>
      </c>
      <c r="AG6" s="322">
        <f>SUM(AG8:AG16)</f>
        <v>28418556</v>
      </c>
      <c r="AH6" s="307">
        <f t="shared" si="7"/>
        <v>105006224</v>
      </c>
      <c r="AI6" s="345">
        <f t="shared" si="1"/>
        <v>1035312232</v>
      </c>
      <c r="AJ6" s="318">
        <f>SUM(AJ8:AJ16)</f>
        <v>19750556</v>
      </c>
      <c r="AK6" s="307">
        <f>SUM(AK8:AK16)</f>
        <v>28418556</v>
      </c>
      <c r="AL6" s="318">
        <f>SUM(AL8:AL16)</f>
        <v>28418556</v>
      </c>
      <c r="AM6" s="318">
        <f>SUM(AM8:AM16)</f>
        <v>28418556</v>
      </c>
      <c r="AN6" s="307">
        <f t="shared" si="8"/>
        <v>105006224</v>
      </c>
      <c r="AO6" s="344">
        <f>SUM(AN6+AI6)</f>
        <v>1140318456</v>
      </c>
    </row>
    <row r="7" spans="1:41" s="88" customFormat="1" ht="16.2" customHeight="1" thickBot="1">
      <c r="A7" s="197" t="s">
        <v>52</v>
      </c>
      <c r="B7" s="107">
        <v>10000000</v>
      </c>
      <c r="C7" s="102">
        <v>30000000</v>
      </c>
      <c r="D7" s="303">
        <f t="shared" si="2"/>
        <v>40000000</v>
      </c>
      <c r="E7" s="344">
        <f t="shared" si="3"/>
        <v>40000000</v>
      </c>
      <c r="F7" s="102">
        <v>10000000</v>
      </c>
      <c r="G7" s="102"/>
      <c r="H7" s="101">
        <v>10000000</v>
      </c>
      <c r="I7" s="102"/>
      <c r="J7" s="305">
        <f t="shared" si="4"/>
        <v>20000000</v>
      </c>
      <c r="K7" s="345">
        <f t="shared" si="0"/>
        <v>60000000</v>
      </c>
      <c r="L7" s="102"/>
      <c r="M7" s="102"/>
      <c r="N7" s="101"/>
      <c r="O7" s="102"/>
      <c r="P7" s="307">
        <f t="shared" si="5"/>
        <v>0</v>
      </c>
      <c r="Q7" s="345">
        <f>SUM(P7+K7)</f>
        <v>60000000</v>
      </c>
      <c r="R7" s="102"/>
      <c r="S7" s="107"/>
      <c r="T7" s="101"/>
      <c r="U7" s="102"/>
      <c r="V7" s="307">
        <f t="shared" si="9"/>
        <v>0</v>
      </c>
      <c r="W7" s="345">
        <f>SUM(V7+Q7)</f>
        <v>60000000</v>
      </c>
      <c r="X7" s="102"/>
      <c r="Y7" s="107"/>
      <c r="Z7" s="101"/>
      <c r="AA7" s="102"/>
      <c r="AB7" s="312">
        <f t="shared" si="6"/>
        <v>0</v>
      </c>
      <c r="AC7" s="344">
        <f>SUM(AB7+W7)</f>
        <v>60000000</v>
      </c>
      <c r="AD7" s="102"/>
      <c r="AE7" s="101"/>
      <c r="AF7" s="102"/>
      <c r="AG7" s="102"/>
      <c r="AH7" s="307">
        <f t="shared" si="7"/>
        <v>0</v>
      </c>
      <c r="AI7" s="345">
        <f t="shared" si="1"/>
        <v>60000000</v>
      </c>
      <c r="AJ7" s="102"/>
      <c r="AK7" s="101"/>
      <c r="AL7" s="102"/>
      <c r="AM7" s="102"/>
      <c r="AN7" s="307">
        <f t="shared" si="8"/>
        <v>0</v>
      </c>
      <c r="AO7" s="344">
        <f>SUM(AN7+AI7)</f>
        <v>60000000</v>
      </c>
    </row>
    <row r="8" spans="1:41" s="75" customFormat="1" ht="16.2" customHeight="1" thickBot="1">
      <c r="A8" s="323" t="s">
        <v>74</v>
      </c>
      <c r="B8" s="324">
        <f>SUM('2. Хоз.расходы'!D16)*3</f>
        <v>1995000</v>
      </c>
      <c r="C8" s="324">
        <f>SUM('2. Хоз.расходы'!D16)*3</f>
        <v>1995000</v>
      </c>
      <c r="D8" s="303">
        <f t="shared" si="2"/>
        <v>3990000</v>
      </c>
      <c r="E8" s="344">
        <f t="shared" si="3"/>
        <v>3990000</v>
      </c>
      <c r="F8" s="325">
        <f>SUM('2. Хоз.расходы'!D16)*3</f>
        <v>1995000</v>
      </c>
      <c r="G8" s="325">
        <f>SUM('2. Хоз.расходы'!D16*3)</f>
        <v>1995000</v>
      </c>
      <c r="H8" s="326">
        <f>SUM('2. Хоз.расходы'!D16*3)</f>
        <v>1995000</v>
      </c>
      <c r="I8" s="325">
        <f>SUM('2. Хоз.расходы'!D16)*3</f>
        <v>1995000</v>
      </c>
      <c r="J8" s="305">
        <f t="shared" si="4"/>
        <v>7980000</v>
      </c>
      <c r="K8" s="345">
        <f t="shared" si="0"/>
        <v>11970000</v>
      </c>
      <c r="L8" s="325">
        <f>SUM('2. Хоз.расходы'!D16)*3</f>
        <v>1995000</v>
      </c>
      <c r="M8" s="325">
        <f>SUM('2. Хоз.расходы'!D16*3)</f>
        <v>1995000</v>
      </c>
      <c r="N8" s="326">
        <f>SUM('2. Хоз.расходы'!D16*3)</f>
        <v>1995000</v>
      </c>
      <c r="O8" s="325">
        <f>SUM('2. Хоз.расходы'!D16)*3</f>
        <v>1995000</v>
      </c>
      <c r="P8" s="307">
        <f t="shared" si="5"/>
        <v>7980000</v>
      </c>
      <c r="Q8" s="345">
        <f>P8+K8</f>
        <v>19950000</v>
      </c>
      <c r="R8" s="325">
        <f>SUM('2. Хоз.расходы'!D16)*3</f>
        <v>1995000</v>
      </c>
      <c r="S8" s="324">
        <f>SUM('2. Хоз.расходы'!D16)*3</f>
        <v>1995000</v>
      </c>
      <c r="T8" s="326">
        <f>SUM('2. Хоз.расходы'!D16)*3</f>
        <v>1995000</v>
      </c>
      <c r="U8" s="327">
        <f>SUM('2. Хоз.расходы'!D16)*3</f>
        <v>1995000</v>
      </c>
      <c r="V8" s="307">
        <f t="shared" si="9"/>
        <v>7980000</v>
      </c>
      <c r="W8" s="345">
        <f>V8+Q8</f>
        <v>27930000</v>
      </c>
      <c r="X8" s="325">
        <f>SUM('2. Хоз.расходы'!D16)*3</f>
        <v>1995000</v>
      </c>
      <c r="Y8" s="324">
        <f>SUM('2. Хоз.расходы'!D16)*3</f>
        <v>1995000</v>
      </c>
      <c r="Z8" s="326">
        <f>SUM('2. Хоз.расходы'!D16)*3</f>
        <v>1995000</v>
      </c>
      <c r="AA8" s="325">
        <f>SUM('2. Хоз.расходы'!D16)*3</f>
        <v>1995000</v>
      </c>
      <c r="AB8" s="312">
        <f t="shared" si="6"/>
        <v>7980000</v>
      </c>
      <c r="AC8" s="344">
        <f t="shared" ref="AC8:AC16" si="10">SUM(W8+AB8)</f>
        <v>35910000</v>
      </c>
      <c r="AD8" s="325">
        <f>SUM('2. Хоз.расходы'!D16)*3</f>
        <v>1995000</v>
      </c>
      <c r="AE8" s="326">
        <f>SUM('2. Хоз.расходы'!D16)*3</f>
        <v>1995000</v>
      </c>
      <c r="AF8" s="325">
        <f>SUM('2. Хоз.расходы'!D16)*3</f>
        <v>1995000</v>
      </c>
      <c r="AG8" s="327">
        <f>SUM('2. Хоз.расходы'!D16)*3</f>
        <v>1995000</v>
      </c>
      <c r="AH8" s="307">
        <f t="shared" si="7"/>
        <v>7980000</v>
      </c>
      <c r="AI8" s="345">
        <f t="shared" si="1"/>
        <v>43890000</v>
      </c>
      <c r="AJ8" s="325">
        <f>SUM('2. Хоз.расходы'!D16)*3</f>
        <v>1995000</v>
      </c>
      <c r="AK8" s="326">
        <f>SUM('2. Хоз.расходы'!D16)*3</f>
        <v>1995000</v>
      </c>
      <c r="AL8" s="325">
        <f>SUM('2. Хоз.расходы'!D16)*3</f>
        <v>1995000</v>
      </c>
      <c r="AM8" s="327">
        <f>SUM('2. Хоз.расходы'!D16)*3</f>
        <v>1995000</v>
      </c>
      <c r="AN8" s="307">
        <f t="shared" si="8"/>
        <v>7980000</v>
      </c>
      <c r="AO8" s="344">
        <f>AN8+AI8</f>
        <v>51870000</v>
      </c>
    </row>
    <row r="9" spans="1:41" s="75" customFormat="1" ht="16.2" customHeight="1" thickBot="1">
      <c r="A9" s="323" t="s">
        <v>75</v>
      </c>
      <c r="B9" s="328">
        <f>SUM('3. Штатное расписание'!P30)*3</f>
        <v>4278000</v>
      </c>
      <c r="C9" s="329">
        <f>SUM('3. Штатное расписание'!P30)*3</f>
        <v>4278000</v>
      </c>
      <c r="D9" s="303">
        <f t="shared" si="2"/>
        <v>8556000</v>
      </c>
      <c r="E9" s="344">
        <f t="shared" si="3"/>
        <v>8556000</v>
      </c>
      <c r="F9" s="329">
        <f>SUM('3. Штатное расписание'!P30)*3</f>
        <v>4278000</v>
      </c>
      <c r="G9" s="329">
        <f>SUM('3. Штатное расписание'!P30)*3</f>
        <v>4278000</v>
      </c>
      <c r="H9" s="328">
        <f>SUM('3. Штатное расписание'!P30)*3</f>
        <v>4278000</v>
      </c>
      <c r="I9" s="329">
        <f>SUM('3. Штатное расписание'!P30)*3</f>
        <v>4278000</v>
      </c>
      <c r="J9" s="305">
        <f t="shared" si="4"/>
        <v>17112000</v>
      </c>
      <c r="K9" s="345">
        <f t="shared" si="0"/>
        <v>25668000</v>
      </c>
      <c r="L9" s="329">
        <f>SUM('3. Штатное расписание'!P30)*3</f>
        <v>4278000</v>
      </c>
      <c r="M9" s="329">
        <f>SUM('3. Штатное расписание'!P30)*3</f>
        <v>4278000</v>
      </c>
      <c r="N9" s="328">
        <f>SUM('3. Штатное расписание'!P30)*3</f>
        <v>4278000</v>
      </c>
      <c r="O9" s="329">
        <f>SUM('3. Штатное расписание'!P30)*3</f>
        <v>4278000</v>
      </c>
      <c r="P9" s="307">
        <f t="shared" si="5"/>
        <v>17112000</v>
      </c>
      <c r="Q9" s="347">
        <f>K9+P9</f>
        <v>42780000</v>
      </c>
      <c r="R9" s="329">
        <f>SUM('3. Штатное расписание'!P30)*3</f>
        <v>4278000</v>
      </c>
      <c r="S9" s="330">
        <f>SUM('3. Штатное расписание'!P30)*3</f>
        <v>4278000</v>
      </c>
      <c r="T9" s="328">
        <f>SUM('3. Штатное расписание'!P30)*3</f>
        <v>4278000</v>
      </c>
      <c r="U9" s="329">
        <f>SUM('3. Штатное расписание'!P30)*3</f>
        <v>4278000</v>
      </c>
      <c r="V9" s="307">
        <f t="shared" si="9"/>
        <v>17112000</v>
      </c>
      <c r="W9" s="347">
        <f>Q9+V9</f>
        <v>59892000</v>
      </c>
      <c r="X9" s="329">
        <f>SUM('3. Штатное расписание'!P30)*3</f>
        <v>4278000</v>
      </c>
      <c r="Y9" s="330">
        <f>SUM('3. Штатное расписание'!P30)*3</f>
        <v>4278000</v>
      </c>
      <c r="Z9" s="328">
        <f>SUM('3. Штатное расписание'!P30)*3</f>
        <v>4278000</v>
      </c>
      <c r="AA9" s="329">
        <f>SUM('3. Штатное расписание'!P30)*3</f>
        <v>4278000</v>
      </c>
      <c r="AB9" s="312">
        <f t="shared" si="6"/>
        <v>17112000</v>
      </c>
      <c r="AC9" s="344">
        <f t="shared" si="10"/>
        <v>77004000</v>
      </c>
      <c r="AD9" s="329">
        <f>SUM('3. Штатное расписание'!P30)*3</f>
        <v>4278000</v>
      </c>
      <c r="AE9" s="328">
        <f>SUM('3. Штатное расписание'!P30)*3</f>
        <v>4278000</v>
      </c>
      <c r="AF9" s="329">
        <f>SUM('3. Штатное расписание'!P30)*3</f>
        <v>4278000</v>
      </c>
      <c r="AG9" s="331">
        <f>SUM('3. Штатное расписание'!P30)*3</f>
        <v>4278000</v>
      </c>
      <c r="AH9" s="307">
        <f t="shared" si="7"/>
        <v>17112000</v>
      </c>
      <c r="AI9" s="345">
        <f t="shared" si="1"/>
        <v>94116000</v>
      </c>
      <c r="AJ9" s="329">
        <f>SUM('3. Штатное расписание'!P30)*3</f>
        <v>4278000</v>
      </c>
      <c r="AK9" s="328">
        <f>SUM('3. Штатное расписание'!P30)*3</f>
        <v>4278000</v>
      </c>
      <c r="AL9" s="329">
        <f>SUM('3. Штатное расписание'!P30)*3</f>
        <v>4278000</v>
      </c>
      <c r="AM9" s="331">
        <f>SUM('3. Штатное расписание'!P30)*3</f>
        <v>4278000</v>
      </c>
      <c r="AN9" s="307">
        <f t="shared" si="8"/>
        <v>17112000</v>
      </c>
      <c r="AO9" s="348">
        <f t="shared" ref="AO9:AO17" si="11">AI9+AN9</f>
        <v>111228000</v>
      </c>
    </row>
    <row r="10" spans="1:41" s="75" customFormat="1" ht="16.2" customHeight="1" thickBot="1">
      <c r="A10" s="233" t="s">
        <v>5</v>
      </c>
      <c r="B10" s="106">
        <f>(B9*0.302)</f>
        <v>1291956</v>
      </c>
      <c r="C10" s="103">
        <f>(C9*0.302)</f>
        <v>1291956</v>
      </c>
      <c r="D10" s="303">
        <f t="shared" si="2"/>
        <v>2583912</v>
      </c>
      <c r="E10" s="344">
        <f t="shared" si="3"/>
        <v>2583912</v>
      </c>
      <c r="F10" s="103">
        <f>SUM(F9)*0.302</f>
        <v>1291956</v>
      </c>
      <c r="G10" s="103">
        <f>SUM(G9)*0.302</f>
        <v>1291956</v>
      </c>
      <c r="H10" s="106">
        <f>SUM(H9)*0.302</f>
        <v>1291956</v>
      </c>
      <c r="I10" s="103">
        <f>SUM(I9)*0.302</f>
        <v>1291956</v>
      </c>
      <c r="J10" s="305">
        <f t="shared" si="4"/>
        <v>5167824</v>
      </c>
      <c r="K10" s="345">
        <f t="shared" si="0"/>
        <v>7751736</v>
      </c>
      <c r="L10" s="103">
        <f>L9*0.302</f>
        <v>1291956</v>
      </c>
      <c r="M10" s="103">
        <f>M9*0.302</f>
        <v>1291956</v>
      </c>
      <c r="N10" s="106">
        <f>N9*0.302</f>
        <v>1291956</v>
      </c>
      <c r="O10" s="103">
        <f>O9*0.302</f>
        <v>1291956</v>
      </c>
      <c r="P10" s="307">
        <f t="shared" si="5"/>
        <v>5167824</v>
      </c>
      <c r="Q10" s="347">
        <f>K10+P10</f>
        <v>12919560</v>
      </c>
      <c r="R10" s="103">
        <f>R9*0.302</f>
        <v>1291956</v>
      </c>
      <c r="S10" s="108">
        <f>(S9*0.302)</f>
        <v>1291956</v>
      </c>
      <c r="T10" s="106">
        <f>(T9*0.302)</f>
        <v>1291956</v>
      </c>
      <c r="U10" s="103">
        <f>(U9*0.302)</f>
        <v>1291956</v>
      </c>
      <c r="V10" s="307">
        <f t="shared" si="9"/>
        <v>5167824</v>
      </c>
      <c r="W10" s="347">
        <f>Q10+V10</f>
        <v>18087384</v>
      </c>
      <c r="X10" s="103">
        <f>(X9*0.302)</f>
        <v>1291956</v>
      </c>
      <c r="Y10" s="108">
        <f>(Y9*0.302)</f>
        <v>1291956</v>
      </c>
      <c r="Z10" s="106">
        <f>(Z9*0.302)</f>
        <v>1291956</v>
      </c>
      <c r="AA10" s="103">
        <f>(AA9*0.302)</f>
        <v>1291956</v>
      </c>
      <c r="AB10" s="312">
        <f t="shared" si="6"/>
        <v>5167824</v>
      </c>
      <c r="AC10" s="344">
        <f t="shared" si="10"/>
        <v>23255208</v>
      </c>
      <c r="AD10" s="103">
        <f>SUM(AD9)*0.302</f>
        <v>1291956</v>
      </c>
      <c r="AE10" s="106">
        <f>SUM(AE9)*0.302</f>
        <v>1291956</v>
      </c>
      <c r="AF10" s="103">
        <f>SUM(AF9)*0.302</f>
        <v>1291956</v>
      </c>
      <c r="AG10" s="103">
        <f>SUM(AG9)*0.302</f>
        <v>1291956</v>
      </c>
      <c r="AH10" s="307">
        <f t="shared" si="7"/>
        <v>5167824</v>
      </c>
      <c r="AI10" s="345">
        <f t="shared" si="1"/>
        <v>28423032</v>
      </c>
      <c r="AJ10" s="103">
        <f>AJ9*0.302</f>
        <v>1291956</v>
      </c>
      <c r="AK10" s="106">
        <f>AK9*0.302</f>
        <v>1291956</v>
      </c>
      <c r="AL10" s="103">
        <f>AL9*0.302</f>
        <v>1291956</v>
      </c>
      <c r="AM10" s="103">
        <f>AM9*0.302</f>
        <v>1291956</v>
      </c>
      <c r="AN10" s="307">
        <f t="shared" si="8"/>
        <v>5167824</v>
      </c>
      <c r="AO10" s="348">
        <f t="shared" si="11"/>
        <v>33590856</v>
      </c>
    </row>
    <row r="11" spans="1:41" s="75" customFormat="1" ht="27.6" customHeight="1" thickBot="1">
      <c r="A11" s="325" t="s">
        <v>92</v>
      </c>
      <c r="B11" s="326">
        <v>0</v>
      </c>
      <c r="C11" s="325">
        <v>0</v>
      </c>
      <c r="D11" s="303">
        <f t="shared" si="2"/>
        <v>0</v>
      </c>
      <c r="E11" s="344">
        <f t="shared" si="3"/>
        <v>0</v>
      </c>
      <c r="F11" s="325">
        <v>0</v>
      </c>
      <c r="G11" s="325">
        <v>0</v>
      </c>
      <c r="H11" s="325">
        <f>SUM('4. Обслуживание установок'!D13+'4. Обслуживание установок'!D21)*3</f>
        <v>13002000</v>
      </c>
      <c r="I11" s="325">
        <f>SUM('4. Обслуживание установок'!D13+'4. Обслуживание установок'!D21)*3</f>
        <v>13002000</v>
      </c>
      <c r="J11" s="305">
        <f t="shared" si="4"/>
        <v>26004000</v>
      </c>
      <c r="K11" s="345">
        <f>SUM(J11+E11)</f>
        <v>26004000</v>
      </c>
      <c r="L11" s="325">
        <f>SUM('4. Обслуживание установок'!D13+'4. Обслуживание установок'!D21)</f>
        <v>4334000</v>
      </c>
      <c r="M11" s="325">
        <f>SUM('4. Обслуживание установок'!D13+'4. Обслуживание установок'!D21)*3</f>
        <v>13002000</v>
      </c>
      <c r="N11" s="325">
        <f>SUM('4. Обслуживание установок'!D13+'4. Обслуживание установок'!D21)*3</f>
        <v>13002000</v>
      </c>
      <c r="O11" s="325">
        <f>SUM('4. Обслуживание установок'!D13+'4. Обслуживание установок'!D21)*3</f>
        <v>13002000</v>
      </c>
      <c r="P11" s="307">
        <f t="shared" si="5"/>
        <v>43340000</v>
      </c>
      <c r="Q11" s="345">
        <f>SUM(K11+P11)</f>
        <v>69344000</v>
      </c>
      <c r="R11" s="325">
        <f>SUM('4. Обслуживание установок'!D13+'4. Обслуживание установок'!D21)</f>
        <v>4334000</v>
      </c>
      <c r="S11" s="325">
        <f>SUM('4. Обслуживание установок'!D13+'4. Обслуживание установок'!D21)*3</f>
        <v>13002000</v>
      </c>
      <c r="T11" s="325">
        <f>SUM('4. Обслуживание установок'!D13+'4. Обслуживание установок'!D21)*3</f>
        <v>13002000</v>
      </c>
      <c r="U11" s="325">
        <f>SUM('4. Обслуживание установок'!D13+'4. Обслуживание установок'!D21)*3</f>
        <v>13002000</v>
      </c>
      <c r="V11" s="307">
        <f t="shared" si="9"/>
        <v>43340000</v>
      </c>
      <c r="W11" s="345">
        <f>SUM(Q11+V11)</f>
        <v>112684000</v>
      </c>
      <c r="X11" s="325">
        <f>SUM('4. Обслуживание установок'!D13+'4. Обслуживание установок'!D21)</f>
        <v>4334000</v>
      </c>
      <c r="Y11" s="325">
        <f>SUM('4. Обслуживание установок'!D13+'4. Обслуживание установок'!D21)*3</f>
        <v>13002000</v>
      </c>
      <c r="Z11" s="325">
        <f>SUM('4. Обслуживание установок'!D13+'4. Обслуживание установок'!D21)*3</f>
        <v>13002000</v>
      </c>
      <c r="AA11" s="325">
        <f>SUM('4. Обслуживание установок'!D13+'4. Обслуживание установок'!D21)*3</f>
        <v>13002000</v>
      </c>
      <c r="AB11" s="312">
        <f t="shared" si="6"/>
        <v>43340000</v>
      </c>
      <c r="AC11" s="344">
        <f>SUM(W11+AB11)</f>
        <v>156024000</v>
      </c>
      <c r="AD11" s="325">
        <f>SUM('4. Обслуживание установок'!D13+'4. Обслуживание установок'!D21)</f>
        <v>4334000</v>
      </c>
      <c r="AE11" s="325">
        <f>SUM('4. Обслуживание установок'!D13+'4. Обслуживание установок'!D21)*3</f>
        <v>13002000</v>
      </c>
      <c r="AF11" s="325">
        <f>SUM('4. Обслуживание установок'!D13+'4. Обслуживание установок'!D21)*3</f>
        <v>13002000</v>
      </c>
      <c r="AG11" s="325">
        <f>SUM('4. Обслуживание установок'!D13+'4. Обслуживание установок'!D21)*3</f>
        <v>13002000</v>
      </c>
      <c r="AH11" s="307">
        <f t="shared" si="7"/>
        <v>43340000</v>
      </c>
      <c r="AI11" s="345">
        <f t="shared" si="1"/>
        <v>199364000</v>
      </c>
      <c r="AJ11" s="325">
        <f>SUM('4. Обслуживание установок'!D13+'4. Обслуживание установок'!D21)</f>
        <v>4334000</v>
      </c>
      <c r="AK11" s="325">
        <f>SUM('4. Обслуживание установок'!D13+'4. Обслуживание установок'!D21)*3</f>
        <v>13002000</v>
      </c>
      <c r="AL11" s="325">
        <f>SUM('4. Обслуживание установок'!D13+'4. Обслуживание установок'!D21)*3</f>
        <v>13002000</v>
      </c>
      <c r="AM11" s="325">
        <f>SUM('4. Обслуживание установок'!D13+'4. Обслуживание установок'!D21)*3</f>
        <v>13002000</v>
      </c>
      <c r="AN11" s="307">
        <f t="shared" si="8"/>
        <v>43340000</v>
      </c>
      <c r="AO11" s="344">
        <f>SUM(AI11+AN11)</f>
        <v>242704000</v>
      </c>
    </row>
    <row r="12" spans="1:41" s="237" customFormat="1" ht="17.399999999999999" customHeight="1" thickBot="1">
      <c r="A12" s="313" t="s">
        <v>182</v>
      </c>
      <c r="B12" s="326"/>
      <c r="C12" s="325"/>
      <c r="D12" s="303"/>
      <c r="E12" s="344"/>
      <c r="F12" s="325"/>
      <c r="G12" s="325"/>
      <c r="H12" s="326"/>
      <c r="I12" s="327"/>
      <c r="J12" s="305">
        <f t="shared" si="4"/>
        <v>0</v>
      </c>
      <c r="K12" s="345"/>
      <c r="L12" s="325"/>
      <c r="M12" s="325"/>
      <c r="N12" s="326"/>
      <c r="O12" s="327"/>
      <c r="P12" s="307">
        <f t="shared" si="5"/>
        <v>0</v>
      </c>
      <c r="Q12" s="345"/>
      <c r="R12" s="325">
        <f>SUM('Калькуляция установок'!E22)</f>
        <v>6921600</v>
      </c>
      <c r="S12" s="325">
        <f>SUM('Калькуляция установок'!E22)</f>
        <v>6921600</v>
      </c>
      <c r="T12" s="325">
        <f>SUM('Калькуляция установок'!E22)</f>
        <v>6921600</v>
      </c>
      <c r="U12" s="327">
        <f>SUM('Калькуляция установок'!E22)</f>
        <v>6921600</v>
      </c>
      <c r="V12" s="307">
        <f t="shared" si="9"/>
        <v>27686400</v>
      </c>
      <c r="W12" s="345">
        <f>SUM(Q12+V12)</f>
        <v>27686400</v>
      </c>
      <c r="X12" s="325">
        <f>SUM('Калькуляция установок'!E22)</f>
        <v>6921600</v>
      </c>
      <c r="Y12" s="324">
        <f>SUM('Калькуляция установок'!E22)</f>
        <v>6921600</v>
      </c>
      <c r="Z12" s="326">
        <f>SUM('Калькуляция установок'!E22)</f>
        <v>6921600</v>
      </c>
      <c r="AA12" s="325">
        <f>SUM('Калькуляция установок'!E22)</f>
        <v>6921600</v>
      </c>
      <c r="AB12" s="312">
        <f t="shared" si="6"/>
        <v>27686400</v>
      </c>
      <c r="AC12" s="344">
        <f>SUM(W12+AB12)</f>
        <v>55372800</v>
      </c>
      <c r="AD12" s="325">
        <f>SUM('Калькуляция установок'!E22)</f>
        <v>6921600</v>
      </c>
      <c r="AE12" s="326">
        <f>SUM('Калькуляция установок'!E22)</f>
        <v>6921600</v>
      </c>
      <c r="AF12" s="325">
        <f>SUM('Калькуляция установок'!E22)</f>
        <v>6921600</v>
      </c>
      <c r="AG12" s="327">
        <f>SUM('Калькуляция установок'!E22)</f>
        <v>6921600</v>
      </c>
      <c r="AH12" s="307">
        <f t="shared" si="7"/>
        <v>27686400</v>
      </c>
      <c r="AI12" s="345">
        <f t="shared" si="1"/>
        <v>83059200</v>
      </c>
      <c r="AJ12" s="325">
        <f>SUM('Калькуляция установок'!E22)</f>
        <v>6921600</v>
      </c>
      <c r="AK12" s="326">
        <f>SUM('Калькуляция установок'!E22)</f>
        <v>6921600</v>
      </c>
      <c r="AL12" s="325">
        <f>SUM('Калькуляция установок'!E22)</f>
        <v>6921600</v>
      </c>
      <c r="AM12" s="327">
        <f>SUM('Калькуляция установок'!E22)</f>
        <v>6921600</v>
      </c>
      <c r="AN12" s="307">
        <f t="shared" si="8"/>
        <v>27686400</v>
      </c>
      <c r="AO12" s="344">
        <f>SUM(AI12+AN12)</f>
        <v>110745600</v>
      </c>
    </row>
    <row r="13" spans="1:41" s="237" customFormat="1" ht="17.399999999999999" customHeight="1" thickBot="1">
      <c r="A13" s="235" t="s">
        <v>76</v>
      </c>
      <c r="B13" s="234">
        <f>SUM('5. Единоразовые вложения'!D11)</f>
        <v>11600000</v>
      </c>
      <c r="C13" s="235"/>
      <c r="D13" s="303">
        <f t="shared" si="2"/>
        <v>11600000</v>
      </c>
      <c r="E13" s="344">
        <f t="shared" si="3"/>
        <v>11600000</v>
      </c>
      <c r="F13" s="235"/>
      <c r="G13" s="235"/>
      <c r="H13" s="234"/>
      <c r="I13" s="102"/>
      <c r="J13" s="305">
        <f t="shared" si="4"/>
        <v>0</v>
      </c>
      <c r="K13" s="345">
        <f t="shared" si="0"/>
        <v>11600000</v>
      </c>
      <c r="L13" s="235"/>
      <c r="M13" s="235"/>
      <c r="N13" s="234"/>
      <c r="O13" s="102"/>
      <c r="P13" s="307">
        <f t="shared" si="5"/>
        <v>0</v>
      </c>
      <c r="Q13" s="345">
        <f>SUM(K13+P13)</f>
        <v>11600000</v>
      </c>
      <c r="R13" s="235"/>
      <c r="S13" s="236"/>
      <c r="T13" s="234"/>
      <c r="U13" s="102"/>
      <c r="V13" s="307">
        <f t="shared" si="9"/>
        <v>0</v>
      </c>
      <c r="W13" s="345">
        <f>SUM(Q13+V13)</f>
        <v>11600000</v>
      </c>
      <c r="X13" s="235">
        <f>SUM('5. Единоразовые вложения'!V11)</f>
        <v>0</v>
      </c>
      <c r="Y13" s="236"/>
      <c r="Z13" s="234"/>
      <c r="AA13" s="235"/>
      <c r="AB13" s="312">
        <f t="shared" si="6"/>
        <v>0</v>
      </c>
      <c r="AC13" s="344">
        <f t="shared" si="10"/>
        <v>11600000</v>
      </c>
      <c r="AD13" s="235"/>
      <c r="AE13" s="234"/>
      <c r="AF13" s="235"/>
      <c r="AG13" s="102"/>
      <c r="AH13" s="307">
        <f t="shared" si="7"/>
        <v>0</v>
      </c>
      <c r="AI13" s="345">
        <f t="shared" si="1"/>
        <v>11600000</v>
      </c>
      <c r="AJ13" s="235"/>
      <c r="AK13" s="234"/>
      <c r="AL13" s="235"/>
      <c r="AM13" s="102"/>
      <c r="AN13" s="307">
        <f t="shared" si="8"/>
        <v>0</v>
      </c>
      <c r="AO13" s="344">
        <f>SUM(AI13+AN13)</f>
        <v>11600000</v>
      </c>
    </row>
    <row r="14" spans="1:41" s="75" customFormat="1" ht="16.2" customHeight="1" thickBot="1">
      <c r="A14" s="104" t="s">
        <v>32</v>
      </c>
      <c r="B14" s="108">
        <v>30000</v>
      </c>
      <c r="C14" s="108">
        <v>30000</v>
      </c>
      <c r="D14" s="303">
        <f t="shared" si="2"/>
        <v>60000</v>
      </c>
      <c r="E14" s="344">
        <f t="shared" si="3"/>
        <v>60000</v>
      </c>
      <c r="F14" s="103">
        <v>30000</v>
      </c>
      <c r="G14" s="103">
        <v>30000</v>
      </c>
      <c r="H14" s="103">
        <v>30000</v>
      </c>
      <c r="I14" s="103">
        <v>30000</v>
      </c>
      <c r="J14" s="305">
        <f t="shared" si="4"/>
        <v>120000</v>
      </c>
      <c r="K14" s="345">
        <f t="shared" si="0"/>
        <v>180000</v>
      </c>
      <c r="L14" s="103">
        <v>30000</v>
      </c>
      <c r="M14" s="103">
        <v>30000</v>
      </c>
      <c r="N14" s="103">
        <v>30000</v>
      </c>
      <c r="O14" s="103">
        <v>30000</v>
      </c>
      <c r="P14" s="307">
        <f t="shared" si="5"/>
        <v>120000</v>
      </c>
      <c r="Q14" s="347">
        <f>K14+P14</f>
        <v>300000</v>
      </c>
      <c r="R14" s="103">
        <v>30000</v>
      </c>
      <c r="S14" s="103">
        <v>30000</v>
      </c>
      <c r="T14" s="103">
        <v>30000</v>
      </c>
      <c r="U14" s="103">
        <v>30000</v>
      </c>
      <c r="V14" s="307">
        <f t="shared" si="9"/>
        <v>120000</v>
      </c>
      <c r="W14" s="347">
        <f>Q14+V14</f>
        <v>420000</v>
      </c>
      <c r="X14" s="103">
        <v>30000</v>
      </c>
      <c r="Y14" s="103">
        <v>30000</v>
      </c>
      <c r="Z14" s="103">
        <v>30000</v>
      </c>
      <c r="AA14" s="103">
        <v>30000</v>
      </c>
      <c r="AB14" s="312">
        <f t="shared" si="6"/>
        <v>120000</v>
      </c>
      <c r="AC14" s="344">
        <f t="shared" si="10"/>
        <v>540000</v>
      </c>
      <c r="AD14" s="103">
        <v>30000</v>
      </c>
      <c r="AE14" s="103">
        <v>30000</v>
      </c>
      <c r="AF14" s="103">
        <v>30000</v>
      </c>
      <c r="AG14" s="103">
        <v>30000</v>
      </c>
      <c r="AH14" s="307">
        <f t="shared" si="7"/>
        <v>120000</v>
      </c>
      <c r="AI14" s="345">
        <f t="shared" si="1"/>
        <v>660000</v>
      </c>
      <c r="AJ14" s="103">
        <v>30000</v>
      </c>
      <c r="AK14" s="103">
        <v>30000</v>
      </c>
      <c r="AL14" s="103">
        <v>30000</v>
      </c>
      <c r="AM14" s="103">
        <v>30000</v>
      </c>
      <c r="AN14" s="307">
        <f t="shared" si="8"/>
        <v>120000</v>
      </c>
      <c r="AO14" s="348">
        <f t="shared" si="11"/>
        <v>780000</v>
      </c>
    </row>
    <row r="15" spans="1:41" s="75" customFormat="1" ht="16.2" customHeight="1" thickBot="1">
      <c r="A15" s="333" t="s">
        <v>2</v>
      </c>
      <c r="B15" s="334">
        <v>900000</v>
      </c>
      <c r="C15" s="313">
        <v>900000</v>
      </c>
      <c r="D15" s="303">
        <f t="shared" si="2"/>
        <v>1800000</v>
      </c>
      <c r="E15" s="344">
        <f t="shared" si="3"/>
        <v>1800000</v>
      </c>
      <c r="F15" s="333">
        <v>900000</v>
      </c>
      <c r="G15" s="333">
        <v>900000</v>
      </c>
      <c r="H15" s="333">
        <v>900000</v>
      </c>
      <c r="I15" s="333">
        <v>900000</v>
      </c>
      <c r="J15" s="305">
        <f t="shared" si="4"/>
        <v>3600000</v>
      </c>
      <c r="K15" s="345">
        <f t="shared" si="0"/>
        <v>5400000</v>
      </c>
      <c r="L15" s="333">
        <v>900000</v>
      </c>
      <c r="M15" s="333">
        <v>900000</v>
      </c>
      <c r="N15" s="333">
        <v>900000</v>
      </c>
      <c r="O15" s="333">
        <v>900000</v>
      </c>
      <c r="P15" s="307">
        <f t="shared" si="5"/>
        <v>3600000</v>
      </c>
      <c r="Q15" s="347">
        <f>K15+P15</f>
        <v>9000000</v>
      </c>
      <c r="R15" s="333">
        <v>900000</v>
      </c>
      <c r="S15" s="333">
        <v>900000</v>
      </c>
      <c r="T15" s="333">
        <v>900000</v>
      </c>
      <c r="U15" s="333">
        <v>900000</v>
      </c>
      <c r="V15" s="307">
        <f t="shared" si="9"/>
        <v>3600000</v>
      </c>
      <c r="W15" s="347">
        <f>Q15+V15</f>
        <v>12600000</v>
      </c>
      <c r="X15" s="333">
        <v>900000</v>
      </c>
      <c r="Y15" s="333">
        <v>900000</v>
      </c>
      <c r="Z15" s="333">
        <v>900000</v>
      </c>
      <c r="AA15" s="333">
        <v>900000</v>
      </c>
      <c r="AB15" s="312">
        <f t="shared" si="6"/>
        <v>3600000</v>
      </c>
      <c r="AC15" s="344">
        <f>SUM(W15+AB15)</f>
        <v>16200000</v>
      </c>
      <c r="AD15" s="333">
        <v>900000</v>
      </c>
      <c r="AE15" s="333">
        <v>900000</v>
      </c>
      <c r="AF15" s="333">
        <v>900000</v>
      </c>
      <c r="AG15" s="333">
        <v>900000</v>
      </c>
      <c r="AH15" s="307">
        <f t="shared" si="7"/>
        <v>3600000</v>
      </c>
      <c r="AI15" s="345">
        <f t="shared" si="1"/>
        <v>19800000</v>
      </c>
      <c r="AJ15" s="313">
        <v>900000</v>
      </c>
      <c r="AK15" s="313">
        <v>900000</v>
      </c>
      <c r="AL15" s="313">
        <v>900000</v>
      </c>
      <c r="AM15" s="313">
        <v>900000</v>
      </c>
      <c r="AN15" s="307">
        <f t="shared" si="8"/>
        <v>3600000</v>
      </c>
      <c r="AO15" s="348">
        <f t="shared" si="11"/>
        <v>23400000</v>
      </c>
    </row>
    <row r="16" spans="1:41" s="75" customFormat="1" ht="24.6" customHeight="1" thickBot="1">
      <c r="A16" s="323" t="s">
        <v>77</v>
      </c>
      <c r="B16" s="324">
        <f>SUM('6. Вложения в оборудование'!D6)</f>
        <v>148320000</v>
      </c>
      <c r="C16" s="325">
        <f>SUM('6. Вложения в оборудование'!E6)</f>
        <v>197760000</v>
      </c>
      <c r="D16" s="303">
        <f t="shared" si="2"/>
        <v>346080000</v>
      </c>
      <c r="E16" s="344">
        <f t="shared" si="3"/>
        <v>346080000</v>
      </c>
      <c r="F16" s="332">
        <f>SUM('6. Вложения в оборудование'!H6)</f>
        <v>74160000</v>
      </c>
      <c r="G16" s="332">
        <f>SUM('6. Вложения в оборудование'!I6)</f>
        <v>0</v>
      </c>
      <c r="H16" s="332">
        <f>SUM('6. Вложения в оборудование'!J6)</f>
        <v>0</v>
      </c>
      <c r="I16" s="332">
        <f>SUM('6. Вложения в оборудование'!K6)</f>
        <v>24720000</v>
      </c>
      <c r="J16" s="305">
        <f t="shared" si="4"/>
        <v>98880000</v>
      </c>
      <c r="K16" s="345">
        <f t="shared" si="0"/>
        <v>444960000</v>
      </c>
      <c r="L16" s="332">
        <f>SUM('6. Вложения в оборудование'!N6)</f>
        <v>0</v>
      </c>
      <c r="M16" s="332">
        <f>SUM('6. Вложения в оборудование'!O6)</f>
        <v>0</v>
      </c>
      <c r="N16" s="332">
        <f>SUM('6. Вложения в оборудование'!P6)</f>
        <v>0</v>
      </c>
      <c r="O16" s="332">
        <f>SUM('6. Вложения в оборудование'!Q6)</f>
        <v>49440000</v>
      </c>
      <c r="P16" s="307">
        <f t="shared" si="5"/>
        <v>49440000</v>
      </c>
      <c r="Q16" s="347">
        <f>K16+P16</f>
        <v>494400000</v>
      </c>
      <c r="R16" s="332">
        <f>SUM('6. Вложения в оборудование'!T6)</f>
        <v>0</v>
      </c>
      <c r="S16" s="332">
        <f>SUM('6. Вложения в оборудование'!U6)</f>
        <v>0</v>
      </c>
      <c r="T16" s="332">
        <f>SUM('6. Вложения в оборудование'!V6)</f>
        <v>0</v>
      </c>
      <c r="U16" s="332">
        <f>SUM('6. Вложения в оборудование'!W6)</f>
        <v>0</v>
      </c>
      <c r="V16" s="307">
        <f t="shared" si="9"/>
        <v>0</v>
      </c>
      <c r="W16" s="347">
        <f>Q16+V16</f>
        <v>494400000</v>
      </c>
      <c r="X16" s="332">
        <f>SUM('6. Вложения в оборудование'!Z6)</f>
        <v>0</v>
      </c>
      <c r="Y16" s="332">
        <f>SUM('6. Вложения в оборудование'!AA6)</f>
        <v>0</v>
      </c>
      <c r="Z16" s="332">
        <f>SUM('6. Вложения в оборудование'!AB6)</f>
        <v>0</v>
      </c>
      <c r="AA16" s="332">
        <f>SUM('6. Вложения в оборудование'!AC6)</f>
        <v>0</v>
      </c>
      <c r="AB16" s="312">
        <f t="shared" si="6"/>
        <v>0</v>
      </c>
      <c r="AC16" s="344">
        <f t="shared" si="10"/>
        <v>494400000</v>
      </c>
      <c r="AD16" s="323">
        <f>SUM('6. Вложения в оборудование'!AF6)</f>
        <v>0</v>
      </c>
      <c r="AE16" s="323">
        <f>SUM('6. Вложения в оборудование'!AG6)</f>
        <v>0</v>
      </c>
      <c r="AF16" s="323">
        <f>SUM('6. Вложения в оборудование'!AH6)</f>
        <v>0</v>
      </c>
      <c r="AG16" s="323">
        <f>SUM('6. Вложения в оборудование'!AI6)</f>
        <v>0</v>
      </c>
      <c r="AH16" s="307">
        <f t="shared" si="7"/>
        <v>0</v>
      </c>
      <c r="AI16" s="345">
        <f t="shared" si="1"/>
        <v>494400000</v>
      </c>
      <c r="AJ16" s="325">
        <f>SUM('6. Вложения в оборудование'!AL6)</f>
        <v>0</v>
      </c>
      <c r="AK16" s="325">
        <f>SUM('6. Вложения в оборудование'!AM6)</f>
        <v>0</v>
      </c>
      <c r="AL16" s="325">
        <f>SUM('6. Вложения в оборудование'!AN6)</f>
        <v>0</v>
      </c>
      <c r="AM16" s="325">
        <f>SUM('6. Вложения в оборудование'!AO6)</f>
        <v>0</v>
      </c>
      <c r="AN16" s="307">
        <f t="shared" si="8"/>
        <v>0</v>
      </c>
      <c r="AO16" s="348">
        <f t="shared" si="11"/>
        <v>494400000</v>
      </c>
    </row>
    <row r="17" spans="1:41" s="75" customFormat="1" ht="16.2" customHeight="1" thickBot="1">
      <c r="A17" s="233" t="s">
        <v>151</v>
      </c>
      <c r="B17" s="106">
        <f>SUM(0-B6)</f>
        <v>-178414956</v>
      </c>
      <c r="C17" s="103">
        <f>SUM(C3-C6)</f>
        <v>-236254956</v>
      </c>
      <c r="D17" s="303">
        <f t="shared" si="2"/>
        <v>-414669912</v>
      </c>
      <c r="E17" s="344">
        <f t="shared" si="3"/>
        <v>-414669912</v>
      </c>
      <c r="F17" s="103">
        <f>SUM(F3-F6)</f>
        <v>-92654956</v>
      </c>
      <c r="G17" s="103">
        <f>SUM(G3-G6)</f>
        <v>-8494956</v>
      </c>
      <c r="H17" s="103">
        <f>SUM(H3-H6)</f>
        <v>-31496956</v>
      </c>
      <c r="I17" s="103">
        <f>SUM(I3-I6)</f>
        <v>-46216956</v>
      </c>
      <c r="J17" s="307">
        <f>SUM(F17+G17+H17)</f>
        <v>-132646868</v>
      </c>
      <c r="K17" s="345">
        <f>SUM(J17+E17)</f>
        <v>-547316780</v>
      </c>
      <c r="L17" s="103">
        <f>SUM(L3-L6)</f>
        <v>-12828956</v>
      </c>
      <c r="M17" s="105">
        <f>SUM(M3-M6)</f>
        <v>-21496956</v>
      </c>
      <c r="N17" s="94">
        <f>SUM(N3-N6)</f>
        <v>166690634.25</v>
      </c>
      <c r="O17" s="103">
        <f>SUM(O3-O6)</f>
        <v>117250634.25</v>
      </c>
      <c r="P17" s="307">
        <f>SUM(L17+M17+N17)</f>
        <v>132364722.25</v>
      </c>
      <c r="Q17" s="347">
        <f>K17+P17</f>
        <v>-414952057.75</v>
      </c>
      <c r="R17" s="103">
        <f>SUM(R3-R6)</f>
        <v>168437034.25</v>
      </c>
      <c r="S17" s="74">
        <f>SUM(S3-S6)</f>
        <v>159769034.25</v>
      </c>
      <c r="T17" s="94">
        <f>SUM(T3-T6)</f>
        <v>159769034.25</v>
      </c>
      <c r="U17" s="103">
        <f>SUM(U3-U6)</f>
        <v>159769034.25</v>
      </c>
      <c r="V17" s="307">
        <f t="shared" si="9"/>
        <v>647744137</v>
      </c>
      <c r="W17" s="347">
        <f>Q17+V17</f>
        <v>232792079.25</v>
      </c>
      <c r="X17" s="103">
        <f>SUM(X3-X6)</f>
        <v>168437034.25</v>
      </c>
      <c r="Y17" s="74">
        <f>SUM(Y3-Y6)</f>
        <v>159769034.25</v>
      </c>
      <c r="Z17" s="94">
        <f>SUM(Z3-Z6)</f>
        <v>159769034.25</v>
      </c>
      <c r="AA17" s="103">
        <f>SUM(AA3-AA6)</f>
        <v>159769034.25</v>
      </c>
      <c r="AB17" s="312">
        <f t="shared" si="6"/>
        <v>647744137</v>
      </c>
      <c r="AC17" s="344">
        <f>SUM(W17+AB17)</f>
        <v>880536216.25</v>
      </c>
      <c r="AD17" s="105">
        <f>SUM(AD3-AD6)</f>
        <v>168437034.25</v>
      </c>
      <c r="AE17" s="94">
        <f>SUM(AE3-AE6)</f>
        <v>159769034.25</v>
      </c>
      <c r="AF17" s="105">
        <f>SUM(AF3-AF6)</f>
        <v>159769034.25</v>
      </c>
      <c r="AG17" s="105">
        <f>SUM(AG3-AG6)</f>
        <v>159769034.25</v>
      </c>
      <c r="AH17" s="307">
        <f t="shared" si="7"/>
        <v>647744137</v>
      </c>
      <c r="AI17" s="345">
        <f>SUM(AH17+AC17)</f>
        <v>1528280353.25</v>
      </c>
      <c r="AJ17" s="103">
        <f>SUM(AJ3-AJ6)</f>
        <v>168437034.25</v>
      </c>
      <c r="AK17" s="106">
        <f>SUM(AK3-AK6)</f>
        <v>159769034.25</v>
      </c>
      <c r="AL17" s="103">
        <f>SUM(AL3-AL6)</f>
        <v>159769034.25</v>
      </c>
      <c r="AM17" s="103">
        <f>SUM(AM3-AM6)</f>
        <v>159769034.25</v>
      </c>
      <c r="AN17" s="307">
        <f t="shared" si="8"/>
        <v>647744137</v>
      </c>
      <c r="AO17" s="348">
        <f t="shared" si="11"/>
        <v>2176024490.25</v>
      </c>
    </row>
    <row r="18" spans="1:41" s="75" customFormat="1" ht="23.4" customHeight="1" thickBot="1">
      <c r="A18" s="335" t="s">
        <v>55</v>
      </c>
      <c r="B18" s="336">
        <f>B3-B6</f>
        <v>485784692</v>
      </c>
      <c r="C18" s="337">
        <f>B18+C3-C6</f>
        <v>249529736</v>
      </c>
      <c r="D18" s="338">
        <f>C18</f>
        <v>249529736</v>
      </c>
      <c r="E18" s="344">
        <f t="shared" si="3"/>
        <v>249529736</v>
      </c>
      <c r="F18" s="337">
        <f>E18+F3-F6</f>
        <v>156874780</v>
      </c>
      <c r="G18" s="337">
        <f>F18+G3-G6</f>
        <v>148379824</v>
      </c>
      <c r="H18" s="338">
        <f>G18+H3-H6</f>
        <v>116882868</v>
      </c>
      <c r="I18" s="339">
        <f>H18+I3-I6</f>
        <v>70665912</v>
      </c>
      <c r="J18" s="305">
        <f>I18</f>
        <v>70665912</v>
      </c>
      <c r="K18" s="347">
        <f>J18</f>
        <v>70665912</v>
      </c>
      <c r="L18" s="337">
        <f>K18+L3-L6</f>
        <v>57836956</v>
      </c>
      <c r="M18" s="471">
        <f>L18+M3-M6</f>
        <v>36340000</v>
      </c>
      <c r="N18" s="336">
        <f>M18+N3-N6</f>
        <v>203030634.25</v>
      </c>
      <c r="O18" s="337">
        <f>N18+O3-O6</f>
        <v>320281268.5</v>
      </c>
      <c r="P18" s="307">
        <f>O18</f>
        <v>320281268.5</v>
      </c>
      <c r="Q18" s="347">
        <f>P18</f>
        <v>320281268.5</v>
      </c>
      <c r="R18" s="337">
        <f>Q18+R3-R6</f>
        <v>488718302.75</v>
      </c>
      <c r="S18" s="338">
        <f>R18+S3-S6</f>
        <v>648487337</v>
      </c>
      <c r="T18" s="336">
        <f>S18+T3-T6</f>
        <v>808256371.25</v>
      </c>
      <c r="U18" s="340">
        <f>T18+U3-U6</f>
        <v>968025405.5</v>
      </c>
      <c r="V18" s="338">
        <f>U18</f>
        <v>968025405.5</v>
      </c>
      <c r="W18" s="347">
        <f>V18</f>
        <v>968025405.5</v>
      </c>
      <c r="X18" s="337">
        <f>W18+X3-X6</f>
        <v>1136462439.75</v>
      </c>
      <c r="Y18" s="338">
        <f>X18+Y3-Y6</f>
        <v>1296231474</v>
      </c>
      <c r="Z18" s="336">
        <f>Y18+Z3-Z6</f>
        <v>1456000508.25</v>
      </c>
      <c r="AA18" s="340">
        <f>Z18+AA3-AA6</f>
        <v>1615769542.5</v>
      </c>
      <c r="AB18" s="338">
        <f>AA18</f>
        <v>1615769542.5</v>
      </c>
      <c r="AC18" s="344">
        <f>AB18</f>
        <v>1615769542.5</v>
      </c>
      <c r="AD18" s="337">
        <f>AC18+AD3-AD6</f>
        <v>1784206576.75</v>
      </c>
      <c r="AE18" s="336">
        <f>AD18+AE3-AE6</f>
        <v>1943975611</v>
      </c>
      <c r="AF18" s="337">
        <f>AE18+AF3-AF6</f>
        <v>2103744645.25</v>
      </c>
      <c r="AG18" s="337">
        <f>AF18+AG3-AG6</f>
        <v>2263513679.5</v>
      </c>
      <c r="AH18" s="307">
        <f>AG18</f>
        <v>2263513679.5</v>
      </c>
      <c r="AI18" s="348">
        <f>AH18</f>
        <v>2263513679.5</v>
      </c>
      <c r="AJ18" s="340">
        <f>AI18+AJ3-AJ6</f>
        <v>2431950713.75</v>
      </c>
      <c r="AK18" s="336">
        <f>AJ18+AK3-AK6</f>
        <v>2591719748</v>
      </c>
      <c r="AL18" s="340">
        <f>AK18+AL3-AL6</f>
        <v>2751488782.25</v>
      </c>
      <c r="AM18" s="341">
        <f>AL18+AM3-AM6</f>
        <v>2911257816.5</v>
      </c>
      <c r="AN18" s="302">
        <f>AM18</f>
        <v>2911257816.5</v>
      </c>
      <c r="AO18" s="348">
        <f>AN18</f>
        <v>2911257816.5</v>
      </c>
    </row>
    <row r="19" spans="1:41">
      <c r="G19" s="12"/>
      <c r="M19" s="12"/>
      <c r="P19" s="10"/>
      <c r="Q19" s="10"/>
      <c r="S19" s="12"/>
      <c r="V19" s="10"/>
      <c r="W19" s="10"/>
      <c r="AE19" s="11"/>
      <c r="AF19" s="11"/>
      <c r="AG19" s="11"/>
      <c r="AH19" s="7"/>
      <c r="AI19" s="7"/>
    </row>
    <row r="20" spans="1:41" ht="25.2" customHeight="1">
      <c r="A20" s="360" t="s">
        <v>91</v>
      </c>
      <c r="B20" s="360"/>
      <c r="C20" s="360"/>
      <c r="V20" s="11"/>
      <c r="W20" s="13"/>
    </row>
    <row r="21" spans="1:41">
      <c r="A21" s="11"/>
      <c r="V21" s="11"/>
      <c r="W21" s="14"/>
    </row>
    <row r="22" spans="1:41">
      <c r="A22" s="361" t="s">
        <v>152</v>
      </c>
      <c r="B22" s="361"/>
      <c r="C22" s="361"/>
    </row>
    <row r="23" spans="1:41">
      <c r="A23" s="11"/>
    </row>
    <row r="24" spans="1:41">
      <c r="A24" s="362"/>
      <c r="B24" s="362"/>
      <c r="C24" s="362"/>
    </row>
    <row r="25" spans="1:41">
      <c r="A25" s="11"/>
    </row>
    <row r="26" spans="1:41">
      <c r="A26" s="11"/>
    </row>
    <row r="27" spans="1:41">
      <c r="A27" s="232"/>
    </row>
  </sheetData>
  <mergeCells count="3">
    <mergeCell ref="A20:C20"/>
    <mergeCell ref="A22:C22"/>
    <mergeCell ref="A24:C24"/>
  </mergeCells>
  <phoneticPr fontId="52" type="noConversion"/>
  <pageMargins left="0.27559055118110237" right="0.15748031496062992" top="1.8897637795275593" bottom="0.74803149606299213" header="0.31496062992125984" footer="0.31496062992125984"/>
  <pageSetup paperSize="9" firstPageNumber="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AR21"/>
  <sheetViews>
    <sheetView topLeftCell="A4" workbookViewId="0">
      <pane xSplit="3" topLeftCell="T1" activePane="topRight" state="frozen"/>
      <selection pane="topRight" activeCell="R12" sqref="R12"/>
    </sheetView>
  </sheetViews>
  <sheetFormatPr defaultRowHeight="13.2"/>
  <cols>
    <col min="1" max="1" width="21.33203125" customWidth="1"/>
    <col min="2" max="2" width="12.88671875" style="186" customWidth="1"/>
    <col min="3" max="3" width="17.6640625" customWidth="1"/>
    <col min="4" max="4" width="14.6640625" customWidth="1"/>
    <col min="5" max="5" width="14.33203125" customWidth="1"/>
    <col min="6" max="17" width="12.88671875" customWidth="1"/>
    <col min="18" max="18" width="13.33203125" customWidth="1"/>
    <col min="19" max="19" width="15.109375" customWidth="1"/>
    <col min="20" max="20" width="16.109375" customWidth="1"/>
    <col min="21" max="24" width="12.88671875" customWidth="1"/>
    <col min="25" max="25" width="15.6640625" customWidth="1"/>
    <col min="26" max="26" width="15.5546875" customWidth="1"/>
    <col min="27" max="30" width="12.88671875" customWidth="1"/>
    <col min="31" max="31" width="14.5546875" customWidth="1"/>
    <col min="32" max="32" width="14.44140625" customWidth="1"/>
    <col min="33" max="36" width="12.88671875" customWidth="1"/>
    <col min="37" max="37" width="14.33203125" customWidth="1"/>
    <col min="38" max="38" width="15.6640625" customWidth="1"/>
    <col min="39" max="42" width="12.88671875" customWidth="1"/>
    <col min="43" max="43" width="13.6640625" customWidth="1"/>
    <col min="44" max="44" width="14.33203125" customWidth="1"/>
  </cols>
  <sheetData>
    <row r="2" spans="1:44" ht="16.2" customHeight="1">
      <c r="A2" s="363" t="s">
        <v>81</v>
      </c>
      <c r="B2" s="363"/>
      <c r="C2" s="363"/>
      <c r="D2" s="363"/>
      <c r="E2" s="204"/>
      <c r="F2" s="204"/>
      <c r="G2" s="127"/>
      <c r="H2" s="127"/>
    </row>
    <row r="3" spans="1:44" ht="13.8" thickBot="1">
      <c r="C3" s="128"/>
      <c r="D3" s="128"/>
      <c r="E3" s="128"/>
      <c r="F3" s="128"/>
      <c r="G3" s="128"/>
      <c r="H3" s="128"/>
    </row>
    <row r="4" spans="1:44" ht="40.200000000000003" thickBot="1">
      <c r="A4" s="129"/>
      <c r="B4" s="185" t="s">
        <v>89</v>
      </c>
      <c r="C4" s="126" t="s">
        <v>83</v>
      </c>
      <c r="D4" s="178" t="s">
        <v>82</v>
      </c>
      <c r="E4" s="64" t="s">
        <v>58</v>
      </c>
      <c r="F4" s="64" t="s">
        <v>59</v>
      </c>
      <c r="G4" s="343" t="s">
        <v>68</v>
      </c>
      <c r="H4" s="349" t="s">
        <v>56</v>
      </c>
      <c r="I4" s="63" t="s">
        <v>60</v>
      </c>
      <c r="J4" s="63" t="s">
        <v>61</v>
      </c>
      <c r="K4" s="63" t="s">
        <v>62</v>
      </c>
      <c r="L4" s="63" t="s">
        <v>63</v>
      </c>
      <c r="M4" s="342" t="s">
        <v>69</v>
      </c>
      <c r="N4" s="349" t="s">
        <v>57</v>
      </c>
      <c r="O4" s="90" t="s">
        <v>98</v>
      </c>
      <c r="P4" s="90" t="s">
        <v>99</v>
      </c>
      <c r="Q4" s="90" t="s">
        <v>100</v>
      </c>
      <c r="R4" s="90" t="s">
        <v>101</v>
      </c>
      <c r="S4" s="342" t="s">
        <v>96</v>
      </c>
      <c r="T4" s="349" t="s">
        <v>97</v>
      </c>
      <c r="U4" s="63" t="s">
        <v>133</v>
      </c>
      <c r="V4" s="63" t="s">
        <v>134</v>
      </c>
      <c r="W4" s="63" t="s">
        <v>135</v>
      </c>
      <c r="X4" s="63" t="s">
        <v>136</v>
      </c>
      <c r="Y4" s="342" t="s">
        <v>137</v>
      </c>
      <c r="Z4" s="349" t="s">
        <v>138</v>
      </c>
      <c r="AA4" s="91" t="s">
        <v>139</v>
      </c>
      <c r="AB4" s="91" t="s">
        <v>140</v>
      </c>
      <c r="AC4" s="91" t="s">
        <v>141</v>
      </c>
      <c r="AD4" s="91" t="s">
        <v>142</v>
      </c>
      <c r="AE4" s="342" t="s">
        <v>143</v>
      </c>
      <c r="AF4" s="349" t="s">
        <v>144</v>
      </c>
      <c r="AG4" s="63" t="s">
        <v>163</v>
      </c>
      <c r="AH4" s="63" t="s">
        <v>164</v>
      </c>
      <c r="AI4" s="63" t="s">
        <v>165</v>
      </c>
      <c r="AJ4" s="63" t="s">
        <v>166</v>
      </c>
      <c r="AK4" s="342" t="s">
        <v>167</v>
      </c>
      <c r="AL4" s="349" t="s">
        <v>168</v>
      </c>
      <c r="AM4" s="63" t="s">
        <v>192</v>
      </c>
      <c r="AN4" s="63" t="s">
        <v>193</v>
      </c>
      <c r="AO4" s="63" t="s">
        <v>194</v>
      </c>
      <c r="AP4" s="63" t="s">
        <v>195</v>
      </c>
      <c r="AQ4" s="342" t="s">
        <v>196</v>
      </c>
      <c r="AR4" s="349" t="s">
        <v>198</v>
      </c>
    </row>
    <row r="5" spans="1:44" ht="37.950000000000003" customHeight="1" thickBot="1">
      <c r="A5" s="184"/>
      <c r="B5" s="187"/>
      <c r="C5" s="189" t="s">
        <v>84</v>
      </c>
      <c r="D5" s="198">
        <f>SUM(D6:D6)</f>
        <v>494400000</v>
      </c>
      <c r="E5" s="71">
        <v>0</v>
      </c>
      <c r="F5" s="71">
        <f>SUM(F6:F6)</f>
        <v>0</v>
      </c>
      <c r="G5" s="303">
        <f>SUM(E5:F5)</f>
        <v>0</v>
      </c>
      <c r="H5" s="344">
        <f>SUM(G5)</f>
        <v>0</v>
      </c>
      <c r="I5" s="188">
        <f>SUM(I6:I6)</f>
        <v>0</v>
      </c>
      <c r="J5" s="188">
        <f>SUM(J6:J6)</f>
        <v>0</v>
      </c>
      <c r="K5" s="188">
        <f>SUM(K6:K6)</f>
        <v>0</v>
      </c>
      <c r="L5" s="188">
        <f>SUM(L6:L6)</f>
        <v>0</v>
      </c>
      <c r="M5" s="305">
        <f>SUM(I5:L5)</f>
        <v>0</v>
      </c>
      <c r="N5" s="344">
        <f>SUM(M5+H5)</f>
        <v>0</v>
      </c>
      <c r="O5" s="188">
        <f>SUM(O6:O6)</f>
        <v>0</v>
      </c>
      <c r="P5" s="188">
        <f>SUM(P6:P6)</f>
        <v>0</v>
      </c>
      <c r="Q5" s="188">
        <f>SUM(Q6:Q6)</f>
        <v>285132712.5</v>
      </c>
      <c r="R5" s="188">
        <f>SUM(R6:R6)</f>
        <v>285132712.5</v>
      </c>
      <c r="S5" s="307">
        <f>SUM(O5:R5)</f>
        <v>570265425</v>
      </c>
      <c r="T5" s="345">
        <f>SUM(S5+N5)</f>
        <v>570265425</v>
      </c>
      <c r="U5" s="189">
        <f>SUM(U6:U6)</f>
        <v>285132712.5</v>
      </c>
      <c r="V5" s="189">
        <f>SUM(V6:V6)</f>
        <v>285132712.5</v>
      </c>
      <c r="W5" s="189">
        <f>SUM(W6:W6)</f>
        <v>285132712.5</v>
      </c>
      <c r="X5" s="189">
        <f>SUM(X6:X6)</f>
        <v>285132712.5</v>
      </c>
      <c r="Y5" s="307">
        <f>SUM(U5:X5)</f>
        <v>1140530850</v>
      </c>
      <c r="Z5" s="345">
        <f>SUM(Y5+T5)</f>
        <v>1710796275</v>
      </c>
      <c r="AA5" s="189">
        <f>SUM(AA6:AA6)</f>
        <v>285132712.5</v>
      </c>
      <c r="AB5" s="188">
        <f>SUM(AB6:AB6)</f>
        <v>285132712.5</v>
      </c>
      <c r="AC5" s="189">
        <f>SUM(AC6:AC6)</f>
        <v>285132712.5</v>
      </c>
      <c r="AD5" s="189">
        <f>SUM(AD6:AD6)</f>
        <v>285132712.5</v>
      </c>
      <c r="AE5" s="312">
        <f>SUM(AA5:AD5)</f>
        <v>1140530850</v>
      </c>
      <c r="AF5" s="344">
        <f>SUM(AE5+Z5)</f>
        <v>2851327125</v>
      </c>
      <c r="AG5" s="188">
        <f>SUM(AG6:AG6)</f>
        <v>285132712.5</v>
      </c>
      <c r="AH5" s="188">
        <f>SUM(AH6:AH6)</f>
        <v>285132712.5</v>
      </c>
      <c r="AI5" s="188">
        <f>SUM(AI6:AI6)</f>
        <v>285132712.5</v>
      </c>
      <c r="AJ5" s="188">
        <f>SUM(AJ6:AJ6)</f>
        <v>285132712.5</v>
      </c>
      <c r="AK5" s="307">
        <f>SUM(AG5:AJ5)</f>
        <v>1140530850</v>
      </c>
      <c r="AL5" s="345">
        <f>SUM(AK5+AF5)</f>
        <v>3991857975</v>
      </c>
      <c r="AM5" s="189">
        <f>SUM(AM6:AM6)</f>
        <v>285132712.5</v>
      </c>
      <c r="AN5" s="189">
        <f>SUM(AN6:AN6)</f>
        <v>285132712.5</v>
      </c>
      <c r="AO5" s="189">
        <f>SUM(AO6:AO6)</f>
        <v>285132712.5</v>
      </c>
      <c r="AP5" s="189">
        <f>SUM(AP6:AP6)</f>
        <v>285132712.5</v>
      </c>
      <c r="AQ5" s="307">
        <f>SUM(AM5:AP5)</f>
        <v>1140530850</v>
      </c>
      <c r="AR5" s="344">
        <f>SUM(AQ5+AL5)</f>
        <v>5132388825</v>
      </c>
    </row>
    <row r="6" spans="1:44" ht="18.600000000000001" customHeight="1" thickBot="1">
      <c r="A6" s="284" t="s">
        <v>157</v>
      </c>
      <c r="B6" s="285">
        <v>0</v>
      </c>
      <c r="C6" s="286" t="s">
        <v>174</v>
      </c>
      <c r="D6" s="287">
        <f>SUM('6. Вложения в оборудование'!C5:C5)</f>
        <v>494400000</v>
      </c>
      <c r="E6" s="288">
        <v>0</v>
      </c>
      <c r="F6" s="288"/>
      <c r="G6" s="303">
        <f>SUM(E6:F6)</f>
        <v>0</v>
      </c>
      <c r="H6" s="344">
        <f t="shared" ref="H6:H12" si="0">SUM(G6)</f>
        <v>0</v>
      </c>
      <c r="I6" s="74"/>
      <c r="J6" s="74">
        <v>0</v>
      </c>
      <c r="K6" s="74"/>
      <c r="L6" s="74"/>
      <c r="M6" s="307">
        <f>SUM(I6+J6+K6+L6)</f>
        <v>0</v>
      </c>
      <c r="N6" s="344">
        <f>SUM(M6+H6)</f>
        <v>0</v>
      </c>
      <c r="O6" s="74"/>
      <c r="P6" s="74"/>
      <c r="Q6" s="74">
        <f>SUM(E18)</f>
        <v>285132712.5</v>
      </c>
      <c r="R6" s="74">
        <f>SUM(E18)</f>
        <v>285132712.5</v>
      </c>
      <c r="S6" s="307">
        <f t="shared" ref="S6:S11" si="1">SUM(O6:R6)</f>
        <v>570265425</v>
      </c>
      <c r="T6" s="345">
        <f t="shared" ref="T6:T12" si="2">SUM(S6+N6)</f>
        <v>570265425</v>
      </c>
      <c r="U6" s="105">
        <f>SUM(E18)</f>
        <v>285132712.5</v>
      </c>
      <c r="V6" s="105">
        <f>SUM(E18)</f>
        <v>285132712.5</v>
      </c>
      <c r="W6" s="105">
        <f>SUM(E18)</f>
        <v>285132712.5</v>
      </c>
      <c r="X6" s="105">
        <f>SUM(E18)</f>
        <v>285132712.5</v>
      </c>
      <c r="Y6" s="307">
        <f>SUM(U6:X6)</f>
        <v>1140530850</v>
      </c>
      <c r="Z6" s="345">
        <f t="shared" ref="Z6:Z12" si="3">SUM(Y6+T6)</f>
        <v>1710796275</v>
      </c>
      <c r="AA6" s="105">
        <f>SUM(E18)</f>
        <v>285132712.5</v>
      </c>
      <c r="AB6" s="74">
        <f>SUM(E18)</f>
        <v>285132712.5</v>
      </c>
      <c r="AC6" s="74">
        <f>SUM(E18)</f>
        <v>285132712.5</v>
      </c>
      <c r="AD6" s="124">
        <f>SUM(E18)</f>
        <v>285132712.5</v>
      </c>
      <c r="AE6" s="312">
        <f t="shared" ref="AE6:AE12" si="4">SUM(AA6:AD6)</f>
        <v>1140530850</v>
      </c>
      <c r="AF6" s="344">
        <f t="shared" ref="AF6:AF12" si="5">SUM(AE6+Z6)</f>
        <v>2851327125</v>
      </c>
      <c r="AG6" s="74">
        <f>SUM(E18)</f>
        <v>285132712.5</v>
      </c>
      <c r="AH6" s="74">
        <f>SUM(E18)</f>
        <v>285132712.5</v>
      </c>
      <c r="AI6" s="74">
        <f>SUM(E18)</f>
        <v>285132712.5</v>
      </c>
      <c r="AJ6" s="125">
        <f>SUM(E18)</f>
        <v>285132712.5</v>
      </c>
      <c r="AK6" s="307">
        <f t="shared" ref="AK6:AK12" si="6">SUM(AG6:AJ6)</f>
        <v>1140530850</v>
      </c>
      <c r="AL6" s="345">
        <f t="shared" ref="AL6:AL12" si="7">SUM(AK6+AF6)</f>
        <v>3991857975</v>
      </c>
      <c r="AM6" s="105">
        <f>SUM(E18)</f>
        <v>285132712.5</v>
      </c>
      <c r="AN6" s="74">
        <f>SUM(E18)</f>
        <v>285132712.5</v>
      </c>
      <c r="AO6" s="105">
        <f>SUM(E18)</f>
        <v>285132712.5</v>
      </c>
      <c r="AP6" s="105">
        <f>SUM(E18)</f>
        <v>285132712.5</v>
      </c>
      <c r="AQ6" s="307">
        <f t="shared" ref="AQ6:AQ12" si="8">SUM(AM6:AP6)</f>
        <v>1140530850</v>
      </c>
      <c r="AR6" s="344">
        <f t="shared" ref="AR6:AR12" si="9">SUM(AQ6+AL6)</f>
        <v>5132388825</v>
      </c>
    </row>
    <row r="7" spans="1:44" ht="13.8" thickBot="1">
      <c r="G7" s="202"/>
      <c r="H7" s="203"/>
      <c r="M7" s="206"/>
      <c r="N7" s="206"/>
      <c r="S7" s="194"/>
      <c r="T7" s="195"/>
      <c r="Y7" s="206"/>
      <c r="Z7" s="206"/>
      <c r="AE7" s="210"/>
      <c r="AF7" s="203"/>
      <c r="AK7" s="203"/>
      <c r="AL7" s="203"/>
      <c r="AQ7" s="203"/>
      <c r="AR7" s="203"/>
    </row>
    <row r="8" spans="1:44" ht="18" thickBot="1">
      <c r="A8" s="369" t="s">
        <v>93</v>
      </c>
      <c r="B8" s="370"/>
      <c r="C8" s="370"/>
      <c r="D8" s="204"/>
      <c r="E8" s="204"/>
      <c r="G8" s="203"/>
      <c r="H8" s="203"/>
      <c r="M8" s="203"/>
      <c r="N8" s="203"/>
      <c r="S8" s="194"/>
      <c r="T8" s="195"/>
      <c r="Y8" s="203"/>
      <c r="Z8" s="203"/>
      <c r="AE8" s="208"/>
      <c r="AF8" s="203"/>
      <c r="AK8" s="203"/>
      <c r="AL8" s="203"/>
      <c r="AQ8" s="203"/>
      <c r="AR8" s="203"/>
    </row>
    <row r="9" spans="1:44" ht="13.8" thickBot="1">
      <c r="G9" s="208"/>
      <c r="H9" s="203"/>
      <c r="M9" s="207"/>
      <c r="N9" s="207"/>
      <c r="S9" s="194"/>
      <c r="T9" s="195"/>
      <c r="Y9" s="209"/>
      <c r="Z9" s="209"/>
      <c r="AE9" s="208"/>
      <c r="AF9" s="203"/>
      <c r="AK9" s="203"/>
      <c r="AL9" s="203"/>
      <c r="AQ9" s="203"/>
      <c r="AR9" s="203"/>
    </row>
    <row r="10" spans="1:44" s="190" customFormat="1" ht="28.8" customHeight="1" thickBot="1">
      <c r="A10" s="364" t="s">
        <v>90</v>
      </c>
      <c r="B10" s="365"/>
      <c r="C10" s="192" t="s">
        <v>131</v>
      </c>
      <c r="D10" s="192"/>
      <c r="E10" s="192">
        <f>SUM(E5*0.1)</f>
        <v>0</v>
      </c>
      <c r="F10" s="192">
        <f>SUM(F5*0.1)</f>
        <v>0</v>
      </c>
      <c r="G10" s="303">
        <f>SUM(E10:F10)</f>
        <v>0</v>
      </c>
      <c r="H10" s="344">
        <f t="shared" si="0"/>
        <v>0</v>
      </c>
      <c r="I10" s="192">
        <f>SUM(I5*0.1)</f>
        <v>0</v>
      </c>
      <c r="J10" s="192">
        <f>SUM(J5*0.1)</f>
        <v>0</v>
      </c>
      <c r="K10" s="192">
        <f>SUM(K5*0.1)</f>
        <v>0</v>
      </c>
      <c r="L10" s="192">
        <f>SUM(L5*0.1)</f>
        <v>0</v>
      </c>
      <c r="M10" s="321">
        <f>SUM(I10+J10+K10+L10)</f>
        <v>0</v>
      </c>
      <c r="N10" s="351">
        <f>SUM(M10+H10)</f>
        <v>0</v>
      </c>
      <c r="O10" s="192">
        <f>SUM(O5*0.1)</f>
        <v>0</v>
      </c>
      <c r="P10" s="192">
        <f>SUM(P5*0.1)</f>
        <v>0</v>
      </c>
      <c r="Q10" s="192">
        <f>SUM(Q5*0.1)</f>
        <v>28513271.25</v>
      </c>
      <c r="R10" s="192">
        <f>SUM(R5*0.1)</f>
        <v>28513271.25</v>
      </c>
      <c r="S10" s="307">
        <f t="shared" si="1"/>
        <v>57026542.5</v>
      </c>
      <c r="T10" s="345">
        <f t="shared" si="2"/>
        <v>57026542.5</v>
      </c>
      <c r="U10" s="192">
        <f>SUM(U5*0.1)</f>
        <v>28513271.25</v>
      </c>
      <c r="V10" s="192">
        <f>SUM(V5*0.1)</f>
        <v>28513271.25</v>
      </c>
      <c r="W10" s="192">
        <f>SUM(W5*0.1)</f>
        <v>28513271.25</v>
      </c>
      <c r="X10" s="192">
        <f>SUM(X5*0.1)</f>
        <v>28513271.25</v>
      </c>
      <c r="Y10" s="321">
        <f>SUM(U10:X10)</f>
        <v>114053085</v>
      </c>
      <c r="Z10" s="352">
        <f t="shared" si="3"/>
        <v>171079627.5</v>
      </c>
      <c r="AA10" s="192">
        <f>SUM(AA5*0.1)</f>
        <v>28513271.25</v>
      </c>
      <c r="AB10" s="192">
        <f>SUM(AB5*0.1)</f>
        <v>28513271.25</v>
      </c>
      <c r="AC10" s="192">
        <f>SUM(AC5*0.1)</f>
        <v>28513271.25</v>
      </c>
      <c r="AD10" s="192">
        <f>SUM(AD5*0.1)</f>
        <v>28513271.25</v>
      </c>
      <c r="AE10" s="303">
        <f t="shared" si="4"/>
        <v>114053085</v>
      </c>
      <c r="AF10" s="344">
        <f t="shared" si="5"/>
        <v>285132712.5</v>
      </c>
      <c r="AG10" s="192">
        <f>SUM(AG5*0.1)</f>
        <v>28513271.25</v>
      </c>
      <c r="AH10" s="192">
        <f>SUM(AH5*0.1)</f>
        <v>28513271.25</v>
      </c>
      <c r="AI10" s="192">
        <f>SUM(AI5*0.1)</f>
        <v>28513271.25</v>
      </c>
      <c r="AJ10" s="211">
        <f>SUM(AJ5*0.1)</f>
        <v>28513271.25</v>
      </c>
      <c r="AK10" s="308">
        <f t="shared" si="6"/>
        <v>114053085</v>
      </c>
      <c r="AL10" s="344">
        <f t="shared" si="7"/>
        <v>399185797.5</v>
      </c>
      <c r="AM10" s="212">
        <f>SUM(AM5*0.1)</f>
        <v>28513271.25</v>
      </c>
      <c r="AN10" s="192">
        <f>SUM(AN5*0.1)</f>
        <v>28513271.25</v>
      </c>
      <c r="AO10" s="192">
        <f>SUM(AO5*0.1)</f>
        <v>28513271.25</v>
      </c>
      <c r="AP10" s="211">
        <f>SUM(AP5*0.1)</f>
        <v>28513271.25</v>
      </c>
      <c r="AQ10" s="308">
        <f t="shared" si="8"/>
        <v>114053085</v>
      </c>
      <c r="AR10" s="344">
        <f t="shared" si="9"/>
        <v>513238882.5</v>
      </c>
    </row>
    <row r="11" spans="1:44" s="190" customFormat="1" ht="20.399999999999999" customHeight="1" thickBot="1">
      <c r="A11" s="240" t="s">
        <v>158</v>
      </c>
      <c r="B11" s="241"/>
      <c r="C11" s="242">
        <v>0.34</v>
      </c>
      <c r="D11" s="193"/>
      <c r="E11" s="193">
        <f>SUM(E5)*0.34</f>
        <v>0</v>
      </c>
      <c r="F11" s="193">
        <f>SUM(F5)*0.34</f>
        <v>0</v>
      </c>
      <c r="G11" s="353">
        <f>SUM(E11:F11)</f>
        <v>0</v>
      </c>
      <c r="H11" s="351">
        <f t="shared" si="0"/>
        <v>0</v>
      </c>
      <c r="I11" s="193">
        <f>SUM(I5)*B6</f>
        <v>0</v>
      </c>
      <c r="J11" s="193">
        <v>0</v>
      </c>
      <c r="K11" s="193">
        <f>SUM(K5*C11)</f>
        <v>0</v>
      </c>
      <c r="L11" s="193">
        <f>SUM(L5*C11)</f>
        <v>0</v>
      </c>
      <c r="M11" s="321">
        <f>SUM(I11+J11+K11+L11)</f>
        <v>0</v>
      </c>
      <c r="N11" s="351">
        <f>SUM(M11+H11)</f>
        <v>0</v>
      </c>
      <c r="O11" s="193">
        <f>SUM(O5*C11)</f>
        <v>0</v>
      </c>
      <c r="P11" s="193">
        <f>SUM(P5*C11)</f>
        <v>0</v>
      </c>
      <c r="Q11" s="193">
        <f>SUM(Q5*C11)</f>
        <v>96945122.25</v>
      </c>
      <c r="R11" s="193">
        <f>SUM(R5*C11)</f>
        <v>96945122.25</v>
      </c>
      <c r="S11" s="321">
        <f t="shared" si="1"/>
        <v>193890244.5</v>
      </c>
      <c r="T11" s="352">
        <f t="shared" si="2"/>
        <v>193890244.5</v>
      </c>
      <c r="U11" s="193">
        <f>SUM(U5*0.34)</f>
        <v>96945122.25</v>
      </c>
      <c r="V11" s="193">
        <f>SUM(V5*0.34)</f>
        <v>96945122.25</v>
      </c>
      <c r="W11" s="193">
        <f>SUM(W5*0.34)</f>
        <v>96945122.25</v>
      </c>
      <c r="X11" s="193">
        <f>SUM(X5*0.34)</f>
        <v>96945122.25</v>
      </c>
      <c r="Y11" s="321">
        <f>SUM(U11:X11)</f>
        <v>387780489</v>
      </c>
      <c r="Z11" s="352">
        <f t="shared" si="3"/>
        <v>581670733.5</v>
      </c>
      <c r="AA11" s="193">
        <f>SUM(AA5*0.34)</f>
        <v>96945122.25</v>
      </c>
      <c r="AB11" s="193">
        <f>SUM(AB5*0.34)</f>
        <v>96945122.25</v>
      </c>
      <c r="AC11" s="193">
        <f>SUM(AC5*0.34)</f>
        <v>96945122.25</v>
      </c>
      <c r="AD11" s="193">
        <f>SUM(AD5*0.34)</f>
        <v>96945122.25</v>
      </c>
      <c r="AE11" s="353">
        <f t="shared" si="4"/>
        <v>387780489</v>
      </c>
      <c r="AF11" s="351">
        <f t="shared" si="5"/>
        <v>969451222.5</v>
      </c>
      <c r="AG11" s="193">
        <f>SUM(AG5*0.34)</f>
        <v>96945122.25</v>
      </c>
      <c r="AH11" s="193">
        <f>SUM(AH5*0.34)</f>
        <v>96945122.25</v>
      </c>
      <c r="AI11" s="193">
        <f>SUM(AI5*0.34)</f>
        <v>96945122.25</v>
      </c>
      <c r="AJ11" s="193">
        <f>SUM(AJ5*0.34)</f>
        <v>96945122.25</v>
      </c>
      <c r="AK11" s="321">
        <f t="shared" si="6"/>
        <v>387780489</v>
      </c>
      <c r="AL11" s="352">
        <f t="shared" si="7"/>
        <v>1357231711.5</v>
      </c>
      <c r="AM11" s="196">
        <f>SUM(AM5*0.34)</f>
        <v>96945122.25</v>
      </c>
      <c r="AN11" s="196">
        <f>SUM(AN5*0.34)</f>
        <v>96945122.25</v>
      </c>
      <c r="AO11" s="196">
        <f>SUM(AO5*0.34)</f>
        <v>96945122.25</v>
      </c>
      <c r="AP11" s="196">
        <f>SUM(AP5*0.34)</f>
        <v>96945122.25</v>
      </c>
      <c r="AQ11" s="321">
        <f t="shared" si="8"/>
        <v>387780489</v>
      </c>
      <c r="AR11" s="351">
        <f t="shared" si="9"/>
        <v>1745012200.5</v>
      </c>
    </row>
    <row r="12" spans="1:44" s="191" customFormat="1" ht="20.399999999999999" customHeight="1" thickBot="1">
      <c r="A12" s="366" t="s">
        <v>150</v>
      </c>
      <c r="B12" s="367"/>
      <c r="C12" s="368"/>
      <c r="D12" s="354"/>
      <c r="E12" s="355">
        <f>SUM(E5-E11)</f>
        <v>0</v>
      </c>
      <c r="F12" s="355">
        <f>SUM(F5-F11)</f>
        <v>0</v>
      </c>
      <c r="G12" s="303">
        <f>SUM(E12:F12)</f>
        <v>0</v>
      </c>
      <c r="H12" s="344">
        <f t="shared" si="0"/>
        <v>0</v>
      </c>
      <c r="I12" s="355">
        <f>SUM(I5-I11)</f>
        <v>0</v>
      </c>
      <c r="J12" s="355">
        <f>SUM(J5-J11)</f>
        <v>0</v>
      </c>
      <c r="K12" s="355">
        <f>SUM(K5-K11)</f>
        <v>0</v>
      </c>
      <c r="L12" s="355">
        <f>SUM(L5-L11)</f>
        <v>0</v>
      </c>
      <c r="M12" s="307">
        <f>SUM(I12+J12+K12+L12)</f>
        <v>0</v>
      </c>
      <c r="N12" s="344">
        <f>SUM(M12+H12)</f>
        <v>0</v>
      </c>
      <c r="O12" s="355">
        <f>SUM(O5-O11)</f>
        <v>0</v>
      </c>
      <c r="P12" s="355">
        <f>SUM(P5-P11)</f>
        <v>0</v>
      </c>
      <c r="Q12" s="355">
        <f>SUM(Q5-Q11)</f>
        <v>188187590.25</v>
      </c>
      <c r="R12" s="355">
        <f>SUM(R5-R11)</f>
        <v>188187590.25</v>
      </c>
      <c r="S12" s="307">
        <f>SUM(O12:R12)</f>
        <v>376375180.5</v>
      </c>
      <c r="T12" s="345">
        <f t="shared" si="2"/>
        <v>376375180.5</v>
      </c>
      <c r="U12" s="355">
        <f>SUM(U5-U11)</f>
        <v>188187590.25</v>
      </c>
      <c r="V12" s="355">
        <f>SUM(V5-V11)</f>
        <v>188187590.25</v>
      </c>
      <c r="W12" s="355">
        <f>SUM(W5-W11)</f>
        <v>188187590.25</v>
      </c>
      <c r="X12" s="355">
        <f>SUM(X5-X11)</f>
        <v>188187590.25</v>
      </c>
      <c r="Y12" s="307">
        <f>SUM(U12:X12)</f>
        <v>752750361</v>
      </c>
      <c r="Z12" s="345">
        <f t="shared" si="3"/>
        <v>1129125541.5</v>
      </c>
      <c r="AA12" s="355">
        <f>SUM(AA5-AA11)</f>
        <v>188187590.25</v>
      </c>
      <c r="AB12" s="355">
        <f>SUM(AB5-AB11)</f>
        <v>188187590.25</v>
      </c>
      <c r="AC12" s="355">
        <f>SUM(AC5-AC11)</f>
        <v>188187590.25</v>
      </c>
      <c r="AD12" s="355">
        <f>SUM(AD5-AD11)</f>
        <v>188187590.25</v>
      </c>
      <c r="AE12" s="312">
        <f t="shared" si="4"/>
        <v>752750361</v>
      </c>
      <c r="AF12" s="344">
        <f t="shared" si="5"/>
        <v>1881875902.5</v>
      </c>
      <c r="AG12" s="355">
        <f>SUM(AG5-AG11)</f>
        <v>188187590.25</v>
      </c>
      <c r="AH12" s="355">
        <f>SUM(AH5-AH11)</f>
        <v>188187590.25</v>
      </c>
      <c r="AI12" s="355">
        <f>SUM(AI5-AI11)</f>
        <v>188187590.25</v>
      </c>
      <c r="AJ12" s="355">
        <f>SUM(AJ5-AJ11)</f>
        <v>188187590.25</v>
      </c>
      <c r="AK12" s="307">
        <f t="shared" si="6"/>
        <v>752750361</v>
      </c>
      <c r="AL12" s="345">
        <f t="shared" si="7"/>
        <v>2634626263.5</v>
      </c>
      <c r="AM12" s="356">
        <f>SUM(AM5-AM11)</f>
        <v>188187590.25</v>
      </c>
      <c r="AN12" s="356">
        <f>SUM(AN5-AN11)</f>
        <v>188187590.25</v>
      </c>
      <c r="AO12" s="356">
        <f>SUM(AO5-AO11)</f>
        <v>188187590.25</v>
      </c>
      <c r="AP12" s="356">
        <f>SUM(AP5-AP11)</f>
        <v>188187590.25</v>
      </c>
      <c r="AQ12" s="307">
        <f t="shared" si="8"/>
        <v>752750361</v>
      </c>
      <c r="AR12" s="344">
        <f t="shared" si="9"/>
        <v>3387376624.5</v>
      </c>
    </row>
    <row r="15" spans="1:44" ht="16.2" thickBot="1">
      <c r="A15" s="375" t="s">
        <v>162</v>
      </c>
      <c r="B15" s="376"/>
      <c r="C15" s="376"/>
      <c r="D15" s="376"/>
      <c r="E15" s="377"/>
      <c r="AE15" s="258">
        <f>SUM(AE10+AE11)</f>
        <v>501833574</v>
      </c>
    </row>
    <row r="16" spans="1:44" ht="26.4" customHeight="1">
      <c r="A16" s="378" t="s">
        <v>185</v>
      </c>
      <c r="B16" s="379"/>
      <c r="C16" s="379"/>
      <c r="D16" s="255">
        <f>SUM(30*0.85*1.27*0.97*20*25*3)</f>
        <v>47120.175000000003</v>
      </c>
      <c r="E16" s="245">
        <f>SUM(D16*C20)</f>
        <v>259160962.50000003</v>
      </c>
    </row>
    <row r="17" spans="1:5" ht="25.2" customHeight="1">
      <c r="A17" s="373" t="s">
        <v>186</v>
      </c>
      <c r="B17" s="374"/>
      <c r="C17" s="374"/>
      <c r="D17" s="256">
        <f>SUM(30*0.85*10*0.97*20*25*3)</f>
        <v>371025</v>
      </c>
      <c r="E17" s="246">
        <f>SUM(D17*C21)</f>
        <v>25971750</v>
      </c>
    </row>
    <row r="18" spans="1:5">
      <c r="A18" s="252" t="s">
        <v>160</v>
      </c>
      <c r="B18" s="253"/>
      <c r="C18" s="254" t="s">
        <v>161</v>
      </c>
      <c r="D18" s="256"/>
      <c r="E18" s="251">
        <f>SUM(E16:E17)</f>
        <v>285132712.5</v>
      </c>
    </row>
    <row r="19" spans="1:5">
      <c r="A19" s="247"/>
      <c r="B19" s="244"/>
      <c r="C19" s="243"/>
      <c r="D19" s="256"/>
      <c r="E19" s="248"/>
    </row>
    <row r="20" spans="1:5">
      <c r="A20" s="380" t="s">
        <v>145</v>
      </c>
      <c r="B20" s="381"/>
      <c r="C20" s="243">
        <v>5500</v>
      </c>
      <c r="D20" s="256"/>
      <c r="E20" s="248"/>
    </row>
    <row r="21" spans="1:5" ht="13.8" thickBot="1">
      <c r="A21" s="371" t="s">
        <v>159</v>
      </c>
      <c r="B21" s="372"/>
      <c r="C21" s="249">
        <v>70</v>
      </c>
      <c r="D21" s="257"/>
      <c r="E21" s="250"/>
    </row>
  </sheetData>
  <mergeCells count="9">
    <mergeCell ref="A2:D2"/>
    <mergeCell ref="A10:B10"/>
    <mergeCell ref="A12:C12"/>
    <mergeCell ref="A8:C8"/>
    <mergeCell ref="A21:B21"/>
    <mergeCell ref="A17:C17"/>
    <mergeCell ref="A15:E15"/>
    <mergeCell ref="A16:C16"/>
    <mergeCell ref="A20:B20"/>
  </mergeCells>
  <phoneticPr fontId="52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8"/>
  <sheetViews>
    <sheetView zoomScaleNormal="100" workbookViewId="0">
      <pane xSplit="3" ySplit="1" topLeftCell="D5" activePane="bottomRight" state="frozenSplit"/>
      <selection activeCell="I9" sqref="I9"/>
      <selection pane="topRight" activeCell="D1" sqref="D1"/>
      <selection pane="bottomLeft" activeCell="A14" sqref="A14"/>
      <selection pane="bottomRight" activeCell="C18" sqref="C18"/>
    </sheetView>
  </sheetViews>
  <sheetFormatPr defaultRowHeight="13.8"/>
  <cols>
    <col min="1" max="1" width="6.33203125" style="4" customWidth="1"/>
    <col min="2" max="2" width="6.88671875" style="20" customWidth="1"/>
    <col min="3" max="3" width="54.6640625" style="18" customWidth="1"/>
    <col min="4" max="4" width="15.88671875" style="23" customWidth="1"/>
  </cols>
  <sheetData>
    <row r="1" spans="1:4" ht="15.75" customHeight="1">
      <c r="A1" s="382" t="s">
        <v>64</v>
      </c>
      <c r="B1" s="382"/>
      <c r="C1" s="382"/>
      <c r="D1" s="382"/>
    </row>
    <row r="3" spans="1:4" ht="14.4" thickBot="1"/>
    <row r="4" spans="1:4" ht="15.6">
      <c r="A4" s="92"/>
      <c r="B4" s="93"/>
      <c r="C4" s="93"/>
      <c r="D4" s="226" t="s">
        <v>54</v>
      </c>
    </row>
    <row r="5" spans="1:4">
      <c r="A5" s="77">
        <v>1</v>
      </c>
      <c r="B5" s="3"/>
      <c r="C5" s="16" t="s">
        <v>7</v>
      </c>
      <c r="D5" s="224">
        <v>100000</v>
      </c>
    </row>
    <row r="6" spans="1:4">
      <c r="A6" s="77">
        <f>SUM(A5+1)</f>
        <v>2</v>
      </c>
      <c r="B6" s="3"/>
      <c r="C6" s="16" t="s">
        <v>4</v>
      </c>
      <c r="D6" s="224">
        <v>20000</v>
      </c>
    </row>
    <row r="7" spans="1:4">
      <c r="A7" s="77">
        <f t="shared" ref="A7:A12" si="0">SUM(A6+1)</f>
        <v>3</v>
      </c>
      <c r="B7" s="17"/>
      <c r="C7" s="16" t="s">
        <v>8</v>
      </c>
      <c r="D7" s="224">
        <v>20000</v>
      </c>
    </row>
    <row r="8" spans="1:4">
      <c r="A8" s="77">
        <f t="shared" si="0"/>
        <v>4</v>
      </c>
      <c r="B8" s="3"/>
      <c r="C8" s="19" t="s">
        <v>31</v>
      </c>
      <c r="D8" s="224">
        <v>75000</v>
      </c>
    </row>
    <row r="9" spans="1:4">
      <c r="A9" s="77">
        <f t="shared" si="0"/>
        <v>5</v>
      </c>
      <c r="B9" s="2"/>
      <c r="C9" s="16" t="s">
        <v>30</v>
      </c>
      <c r="D9" s="224">
        <v>10000</v>
      </c>
    </row>
    <row r="10" spans="1:4">
      <c r="A10" s="77">
        <f t="shared" si="0"/>
        <v>6</v>
      </c>
      <c r="B10" s="2"/>
      <c r="C10" s="16" t="s">
        <v>42</v>
      </c>
      <c r="D10" s="224">
        <v>5000</v>
      </c>
    </row>
    <row r="11" spans="1:4">
      <c r="A11" s="77">
        <f t="shared" si="0"/>
        <v>7</v>
      </c>
      <c r="B11" s="3"/>
      <c r="C11" s="16" t="s">
        <v>48</v>
      </c>
      <c r="D11" s="224">
        <v>100000</v>
      </c>
    </row>
    <row r="12" spans="1:4">
      <c r="A12" s="77">
        <f t="shared" si="0"/>
        <v>8</v>
      </c>
      <c r="B12" s="3"/>
      <c r="C12" s="16" t="s">
        <v>39</v>
      </c>
      <c r="D12" s="224">
        <v>200000</v>
      </c>
    </row>
    <row r="13" spans="1:4">
      <c r="A13" s="77">
        <v>9</v>
      </c>
      <c r="B13" s="3"/>
      <c r="C13" s="16" t="s">
        <v>50</v>
      </c>
      <c r="D13" s="224">
        <v>25000</v>
      </c>
    </row>
    <row r="14" spans="1:4">
      <c r="A14" s="77">
        <v>10</v>
      </c>
      <c r="B14" s="3"/>
      <c r="C14" s="16" t="s">
        <v>49</v>
      </c>
      <c r="D14" s="224">
        <v>200000</v>
      </c>
    </row>
    <row r="15" spans="1:4" ht="14.4" thickBot="1">
      <c r="A15" s="77">
        <v>11</v>
      </c>
      <c r="B15" s="3"/>
      <c r="C15" s="16" t="s">
        <v>34</v>
      </c>
      <c r="D15" s="224">
        <v>10000</v>
      </c>
    </row>
    <row r="16" spans="1:4" ht="20.399999999999999" customHeight="1" thickBot="1">
      <c r="A16" s="84"/>
      <c r="B16" s="85"/>
      <c r="C16" s="86" t="s">
        <v>71</v>
      </c>
      <c r="D16" s="227">
        <f>SUM(D6:D15)</f>
        <v>665000</v>
      </c>
    </row>
    <row r="17" spans="1:4" ht="14.4" thickBot="1"/>
    <row r="18" spans="1:4" ht="27" thickBot="1">
      <c r="A18" s="199">
        <v>1</v>
      </c>
      <c r="B18" s="199"/>
      <c r="C18" s="200" t="s">
        <v>200</v>
      </c>
      <c r="D18" s="201">
        <v>1600000</v>
      </c>
    </row>
  </sheetData>
  <mergeCells count="1">
    <mergeCell ref="A1:D1"/>
  </mergeCells>
  <phoneticPr fontId="52" type="noConversion"/>
  <pageMargins left="0.7" right="0.7" top="0.75" bottom="0.75" header="0.3" footer="0.3"/>
  <pageSetup paperSize="9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R269"/>
  <sheetViews>
    <sheetView topLeftCell="A12" zoomScale="80" zoomScaleNormal="80" workbookViewId="0">
      <selection activeCell="J24" sqref="J24"/>
    </sheetView>
  </sheetViews>
  <sheetFormatPr defaultRowHeight="13.8"/>
  <cols>
    <col min="1" max="1" width="19.33203125" style="15" customWidth="1"/>
    <col min="2" max="2" width="6.44140625" style="1" customWidth="1"/>
    <col min="3" max="3" width="26.33203125" style="1" customWidth="1"/>
    <col min="4" max="4" width="12.33203125" style="1" customWidth="1"/>
    <col min="5" max="5" width="22.33203125" style="1" customWidth="1"/>
    <col min="6" max="7" width="8.109375" style="1" customWidth="1"/>
    <col min="8" max="8" width="11.33203125" style="1" customWidth="1"/>
    <col min="9" max="9" width="10.88671875" style="21" customWidth="1"/>
    <col min="10" max="10" width="12.6640625" customWidth="1"/>
    <col min="11" max="11" width="7.44140625" customWidth="1"/>
    <col min="12" max="12" width="13.109375" customWidth="1"/>
    <col min="13" max="13" width="9.88671875" customWidth="1"/>
    <col min="14" max="14" width="7.44140625" customWidth="1"/>
    <col min="16" max="16" width="14.6640625" customWidth="1"/>
    <col min="17" max="17" width="11.6640625" customWidth="1"/>
  </cols>
  <sheetData>
    <row r="1" spans="1:17" ht="32.4" customHeight="1"/>
    <row r="2" spans="1:17" ht="13.2">
      <c r="A2" s="383" t="s">
        <v>9</v>
      </c>
      <c r="B2" s="383"/>
      <c r="C2" s="383"/>
      <c r="D2" s="383"/>
      <c r="E2" s="383"/>
      <c r="F2" s="383"/>
      <c r="G2" s="383"/>
      <c r="H2" s="383"/>
      <c r="I2" s="383"/>
      <c r="J2" s="27"/>
      <c r="K2" s="28"/>
      <c r="L2" s="27"/>
      <c r="M2" s="27"/>
      <c r="N2" s="27"/>
      <c r="O2" s="25"/>
      <c r="P2" s="25"/>
      <c r="Q2" s="25"/>
    </row>
    <row r="3" spans="1:17" ht="15.6" customHeight="1">
      <c r="A3" s="29" t="s">
        <v>10</v>
      </c>
      <c r="B3" s="29"/>
      <c r="C3" s="30"/>
      <c r="D3" s="31">
        <v>22</v>
      </c>
      <c r="E3" s="26"/>
      <c r="F3" s="26"/>
      <c r="G3" s="26"/>
      <c r="H3" s="32"/>
      <c r="I3" s="32"/>
      <c r="J3" s="25"/>
      <c r="K3" s="26"/>
      <c r="L3" s="25"/>
      <c r="M3" s="25"/>
      <c r="N3" s="25"/>
      <c r="O3" s="33"/>
      <c r="P3" s="25"/>
      <c r="Q3" s="25"/>
    </row>
    <row r="4" spans="1:17" ht="52.95" customHeight="1">
      <c r="A4" s="384" t="s">
        <v>11</v>
      </c>
      <c r="B4" s="385"/>
      <c r="C4" s="386" t="s">
        <v>12</v>
      </c>
      <c r="D4" s="387"/>
      <c r="E4" s="60"/>
      <c r="F4" s="390" t="s">
        <v>13</v>
      </c>
      <c r="G4" s="390" t="s">
        <v>14</v>
      </c>
      <c r="H4" s="392" t="s">
        <v>15</v>
      </c>
      <c r="I4" s="393"/>
      <c r="J4" s="398" t="s">
        <v>16</v>
      </c>
      <c r="K4" s="402" t="s">
        <v>17</v>
      </c>
      <c r="L4" s="402"/>
      <c r="M4" s="403" t="s">
        <v>18</v>
      </c>
      <c r="N4" s="405" t="s">
        <v>19</v>
      </c>
      <c r="O4" s="398" t="s">
        <v>20</v>
      </c>
      <c r="P4" s="411" t="s">
        <v>21</v>
      </c>
      <c r="Q4" s="398" t="s">
        <v>22</v>
      </c>
    </row>
    <row r="5" spans="1:17" ht="73.2" customHeight="1">
      <c r="A5" s="59" t="s">
        <v>23</v>
      </c>
      <c r="B5" s="34" t="s">
        <v>24</v>
      </c>
      <c r="C5" s="388"/>
      <c r="D5" s="389"/>
      <c r="E5" s="61"/>
      <c r="F5" s="391"/>
      <c r="G5" s="391"/>
      <c r="H5" s="394"/>
      <c r="I5" s="395"/>
      <c r="J5" s="399"/>
      <c r="K5" s="58" t="s">
        <v>25</v>
      </c>
      <c r="L5" s="62" t="s">
        <v>26</v>
      </c>
      <c r="M5" s="404"/>
      <c r="N5" s="406"/>
      <c r="O5" s="399"/>
      <c r="P5" s="412"/>
      <c r="Q5" s="399"/>
    </row>
    <row r="6" spans="1:17" thickBot="1">
      <c r="A6" s="134">
        <v>1</v>
      </c>
      <c r="B6" s="35">
        <v>2</v>
      </c>
      <c r="C6" s="420">
        <v>3</v>
      </c>
      <c r="D6" s="421"/>
      <c r="E6" s="136">
        <v>4</v>
      </c>
      <c r="F6" s="137">
        <v>5</v>
      </c>
      <c r="G6" s="134">
        <v>6</v>
      </c>
      <c r="H6" s="407">
        <v>7</v>
      </c>
      <c r="I6" s="408"/>
      <c r="J6" s="138">
        <v>8</v>
      </c>
      <c r="K6" s="137">
        <v>9</v>
      </c>
      <c r="L6" s="138">
        <v>10</v>
      </c>
      <c r="M6" s="139">
        <v>11</v>
      </c>
      <c r="N6" s="138">
        <v>12</v>
      </c>
      <c r="O6" s="138">
        <v>13</v>
      </c>
      <c r="P6" s="140">
        <v>14</v>
      </c>
      <c r="Q6" s="138">
        <v>15</v>
      </c>
    </row>
    <row r="7" spans="1:17" ht="15.6" thickBot="1">
      <c r="A7" s="422" t="s">
        <v>27</v>
      </c>
      <c r="B7" s="135"/>
      <c r="C7" s="427" t="s">
        <v>35</v>
      </c>
      <c r="D7" s="428"/>
      <c r="E7" s="141" t="s">
        <v>37</v>
      </c>
      <c r="F7" s="142">
        <v>1</v>
      </c>
      <c r="G7" s="143">
        <v>22</v>
      </c>
      <c r="H7" s="418">
        <v>250000</v>
      </c>
      <c r="I7" s="419"/>
      <c r="J7" s="144">
        <f t="shared" ref="J7:J28" si="0">H7*F7/$D$3*G7</f>
        <v>250000</v>
      </c>
      <c r="K7" s="142">
        <v>0</v>
      </c>
      <c r="L7" s="144">
        <f t="shared" ref="L7:L13" si="1">J7*K7</f>
        <v>0</v>
      </c>
      <c r="M7" s="145"/>
      <c r="N7" s="144"/>
      <c r="O7" s="146">
        <f t="shared" ref="O7:O28" si="2">(J7+L7+M7+N7)*0.15</f>
        <v>37500</v>
      </c>
      <c r="P7" s="147">
        <f t="shared" ref="P7:P28" si="3">J7+L7+M7+N7+O7</f>
        <v>287500</v>
      </c>
      <c r="Q7" s="148">
        <f t="shared" ref="Q7:Q28" si="4">P7*0.87</f>
        <v>250125</v>
      </c>
    </row>
    <row r="8" spans="1:17" ht="15.6" thickBot="1">
      <c r="A8" s="423"/>
      <c r="B8" s="135"/>
      <c r="C8" s="425" t="s">
        <v>36</v>
      </c>
      <c r="D8" s="426"/>
      <c r="E8" s="122" t="s">
        <v>6</v>
      </c>
      <c r="F8" s="36">
        <v>1</v>
      </c>
      <c r="G8" s="37">
        <v>22</v>
      </c>
      <c r="H8" s="418">
        <v>250000</v>
      </c>
      <c r="I8" s="419"/>
      <c r="J8" s="38">
        <f t="shared" si="0"/>
        <v>250000</v>
      </c>
      <c r="K8" s="36">
        <v>0</v>
      </c>
      <c r="L8" s="38">
        <f t="shared" si="1"/>
        <v>0</v>
      </c>
      <c r="M8" s="39"/>
      <c r="N8" s="38"/>
      <c r="O8" s="40">
        <f t="shared" si="2"/>
        <v>37500</v>
      </c>
      <c r="P8" s="41">
        <f t="shared" si="3"/>
        <v>287500</v>
      </c>
      <c r="Q8" s="149">
        <f t="shared" si="4"/>
        <v>250125</v>
      </c>
    </row>
    <row r="9" spans="1:17" ht="15.6" thickBot="1">
      <c r="A9" s="423"/>
      <c r="B9" s="135"/>
      <c r="C9" s="416" t="s">
        <v>146</v>
      </c>
      <c r="D9" s="417"/>
      <c r="E9" s="119" t="s">
        <v>147</v>
      </c>
      <c r="F9" s="36">
        <v>1</v>
      </c>
      <c r="G9" s="37">
        <v>22</v>
      </c>
      <c r="H9" s="418">
        <v>250000</v>
      </c>
      <c r="I9" s="419"/>
      <c r="J9" s="38">
        <f t="shared" si="0"/>
        <v>250000</v>
      </c>
      <c r="K9" s="36">
        <v>0</v>
      </c>
      <c r="L9" s="38">
        <f t="shared" si="1"/>
        <v>0</v>
      </c>
      <c r="M9" s="39"/>
      <c r="N9" s="38"/>
      <c r="O9" s="40">
        <f t="shared" si="2"/>
        <v>37500</v>
      </c>
      <c r="P9" s="41">
        <f t="shared" si="3"/>
        <v>287500</v>
      </c>
      <c r="Q9" s="149">
        <f t="shared" si="4"/>
        <v>250125</v>
      </c>
    </row>
    <row r="10" spans="1:17" ht="15">
      <c r="A10" s="423"/>
      <c r="B10" s="135"/>
      <c r="C10" s="416" t="s">
        <v>148</v>
      </c>
      <c r="D10" s="417"/>
      <c r="E10" s="119" t="s">
        <v>127</v>
      </c>
      <c r="F10" s="36">
        <v>1</v>
      </c>
      <c r="G10" s="37">
        <v>22</v>
      </c>
      <c r="H10" s="418">
        <v>150000</v>
      </c>
      <c r="I10" s="419"/>
      <c r="J10" s="38">
        <f t="shared" si="0"/>
        <v>150000</v>
      </c>
      <c r="K10" s="36">
        <v>0</v>
      </c>
      <c r="L10" s="38">
        <f t="shared" si="1"/>
        <v>0</v>
      </c>
      <c r="M10" s="39"/>
      <c r="N10" s="38"/>
      <c r="O10" s="40">
        <f t="shared" si="2"/>
        <v>22500</v>
      </c>
      <c r="P10" s="41">
        <f t="shared" si="3"/>
        <v>172500</v>
      </c>
      <c r="Q10" s="149">
        <f t="shared" si="4"/>
        <v>150075</v>
      </c>
    </row>
    <row r="11" spans="1:17" ht="30">
      <c r="A11" s="423"/>
      <c r="B11" s="135"/>
      <c r="C11" s="150" t="s">
        <v>95</v>
      </c>
      <c r="D11" s="119"/>
      <c r="E11" s="119"/>
      <c r="F11" s="36">
        <v>1</v>
      </c>
      <c r="G11" s="37">
        <v>22</v>
      </c>
      <c r="H11" s="409">
        <v>0</v>
      </c>
      <c r="I11" s="415"/>
      <c r="J11" s="38">
        <f t="shared" si="0"/>
        <v>0</v>
      </c>
      <c r="K11" s="36">
        <v>0</v>
      </c>
      <c r="L11" s="38">
        <f t="shared" si="1"/>
        <v>0</v>
      </c>
      <c r="M11" s="39"/>
      <c r="N11" s="38"/>
      <c r="O11" s="40">
        <f t="shared" si="2"/>
        <v>0</v>
      </c>
      <c r="P11" s="41">
        <f t="shared" si="3"/>
        <v>0</v>
      </c>
      <c r="Q11" s="149">
        <f t="shared" si="4"/>
        <v>0</v>
      </c>
    </row>
    <row r="12" spans="1:17" ht="15">
      <c r="A12" s="423"/>
      <c r="B12" s="135"/>
      <c r="C12" s="150" t="s">
        <v>126</v>
      </c>
      <c r="D12" s="119"/>
      <c r="E12" s="119"/>
      <c r="F12" s="36">
        <v>1</v>
      </c>
      <c r="G12" s="37">
        <v>22</v>
      </c>
      <c r="H12" s="409">
        <v>0</v>
      </c>
      <c r="I12" s="415"/>
      <c r="J12" s="38">
        <f t="shared" si="0"/>
        <v>0</v>
      </c>
      <c r="K12" s="36">
        <v>0</v>
      </c>
      <c r="L12" s="38">
        <f t="shared" si="1"/>
        <v>0</v>
      </c>
      <c r="M12" s="39"/>
      <c r="N12" s="38"/>
      <c r="O12" s="40">
        <f t="shared" si="2"/>
        <v>0</v>
      </c>
      <c r="P12" s="41">
        <f t="shared" si="3"/>
        <v>0</v>
      </c>
      <c r="Q12" s="149">
        <f t="shared" si="4"/>
        <v>0</v>
      </c>
    </row>
    <row r="13" spans="1:17" ht="15">
      <c r="A13" s="423"/>
      <c r="B13" s="135"/>
      <c r="C13" s="150" t="s">
        <v>47</v>
      </c>
      <c r="D13" s="119"/>
      <c r="E13" s="119"/>
      <c r="F13" s="36">
        <v>1</v>
      </c>
      <c r="G13" s="37">
        <v>22</v>
      </c>
      <c r="H13" s="409">
        <v>70000</v>
      </c>
      <c r="I13" s="410"/>
      <c r="J13" s="38">
        <f t="shared" si="0"/>
        <v>70000</v>
      </c>
      <c r="K13" s="36">
        <v>0</v>
      </c>
      <c r="L13" s="38">
        <f t="shared" si="1"/>
        <v>0</v>
      </c>
      <c r="M13" s="39"/>
      <c r="N13" s="38"/>
      <c r="O13" s="40">
        <f t="shared" si="2"/>
        <v>10500</v>
      </c>
      <c r="P13" s="41">
        <f t="shared" si="3"/>
        <v>80500</v>
      </c>
      <c r="Q13" s="149">
        <f t="shared" si="4"/>
        <v>70035</v>
      </c>
    </row>
    <row r="14" spans="1:17" ht="15">
      <c r="A14" s="423"/>
      <c r="B14" s="135"/>
      <c r="C14" s="150" t="s">
        <v>51</v>
      </c>
      <c r="D14" s="119"/>
      <c r="E14" s="119"/>
      <c r="F14" s="36">
        <v>2</v>
      </c>
      <c r="G14" s="37">
        <v>22</v>
      </c>
      <c r="H14" s="409">
        <v>70000</v>
      </c>
      <c r="I14" s="410"/>
      <c r="J14" s="38">
        <f t="shared" si="0"/>
        <v>140000</v>
      </c>
      <c r="K14" s="36"/>
      <c r="L14" s="38"/>
      <c r="M14" s="39"/>
      <c r="N14" s="38"/>
      <c r="O14" s="40">
        <f t="shared" si="2"/>
        <v>21000</v>
      </c>
      <c r="P14" s="41">
        <f t="shared" si="3"/>
        <v>161000</v>
      </c>
      <c r="Q14" s="149">
        <f t="shared" si="4"/>
        <v>140070</v>
      </c>
    </row>
    <row r="15" spans="1:17" ht="15">
      <c r="A15" s="423"/>
      <c r="B15" s="135"/>
      <c r="C15" s="425" t="s">
        <v>28</v>
      </c>
      <c r="D15" s="426"/>
      <c r="E15" s="122"/>
      <c r="F15" s="36">
        <v>1</v>
      </c>
      <c r="G15" s="37">
        <v>22</v>
      </c>
      <c r="H15" s="409">
        <v>100000</v>
      </c>
      <c r="I15" s="410"/>
      <c r="J15" s="38">
        <f t="shared" si="0"/>
        <v>99999.999999999985</v>
      </c>
      <c r="K15" s="36">
        <v>0</v>
      </c>
      <c r="L15" s="38">
        <v>0</v>
      </c>
      <c r="M15" s="39"/>
      <c r="N15" s="38"/>
      <c r="O15" s="40">
        <f t="shared" si="2"/>
        <v>14999.999999999996</v>
      </c>
      <c r="P15" s="41">
        <f t="shared" si="3"/>
        <v>114999.99999999999</v>
      </c>
      <c r="Q15" s="149">
        <f t="shared" si="4"/>
        <v>100049.99999999999</v>
      </c>
    </row>
    <row r="16" spans="1:17" ht="15">
      <c r="A16" s="423"/>
      <c r="B16" s="135"/>
      <c r="C16" s="425" t="s">
        <v>38</v>
      </c>
      <c r="D16" s="426"/>
      <c r="E16" s="122"/>
      <c r="F16" s="36">
        <v>1</v>
      </c>
      <c r="G16" s="37">
        <v>22</v>
      </c>
      <c r="H16" s="409">
        <v>30000</v>
      </c>
      <c r="I16" s="410"/>
      <c r="J16" s="38">
        <f t="shared" si="0"/>
        <v>30000.000000000004</v>
      </c>
      <c r="K16" s="36">
        <v>0</v>
      </c>
      <c r="L16" s="38">
        <f>J16*K16</f>
        <v>0</v>
      </c>
      <c r="M16" s="39"/>
      <c r="N16" s="38"/>
      <c r="O16" s="40">
        <f t="shared" si="2"/>
        <v>4500</v>
      </c>
      <c r="P16" s="41">
        <f t="shared" si="3"/>
        <v>34500</v>
      </c>
      <c r="Q16" s="149">
        <f t="shared" si="4"/>
        <v>30015</v>
      </c>
    </row>
    <row r="17" spans="1:17" ht="15.6" thickBot="1">
      <c r="A17" s="424"/>
      <c r="B17" s="153"/>
      <c r="C17" s="154" t="s">
        <v>45</v>
      </c>
      <c r="D17" s="155"/>
      <c r="E17" s="155"/>
      <c r="F17" s="156">
        <v>1</v>
      </c>
      <c r="G17" s="120">
        <v>22</v>
      </c>
      <c r="H17" s="413">
        <v>0</v>
      </c>
      <c r="I17" s="414"/>
      <c r="J17" s="157">
        <f t="shared" si="0"/>
        <v>0</v>
      </c>
      <c r="K17" s="156">
        <v>0</v>
      </c>
      <c r="L17" s="157">
        <v>0</v>
      </c>
      <c r="M17" s="158"/>
      <c r="N17" s="157"/>
      <c r="O17" s="159">
        <f t="shared" si="2"/>
        <v>0</v>
      </c>
      <c r="P17" s="160">
        <f t="shared" si="3"/>
        <v>0</v>
      </c>
      <c r="Q17" s="161">
        <f t="shared" si="4"/>
        <v>0</v>
      </c>
    </row>
    <row r="18" spans="1:17" ht="15.6" thickBot="1">
      <c r="A18" s="434" t="s">
        <v>78</v>
      </c>
      <c r="B18" s="163"/>
      <c r="C18" s="437" t="s">
        <v>80</v>
      </c>
      <c r="D18" s="438"/>
      <c r="E18" s="164"/>
      <c r="F18" s="142">
        <v>1</v>
      </c>
      <c r="G18" s="142">
        <v>22</v>
      </c>
      <c r="H18" s="418"/>
      <c r="I18" s="429"/>
      <c r="J18" s="144">
        <f t="shared" si="0"/>
        <v>0</v>
      </c>
      <c r="K18" s="156">
        <v>0</v>
      </c>
      <c r="L18" s="157">
        <v>0</v>
      </c>
      <c r="M18" s="145"/>
      <c r="N18" s="144"/>
      <c r="O18" s="159">
        <f t="shared" si="2"/>
        <v>0</v>
      </c>
      <c r="P18" s="160">
        <f t="shared" si="3"/>
        <v>0</v>
      </c>
      <c r="Q18" s="161">
        <f t="shared" si="4"/>
        <v>0</v>
      </c>
    </row>
    <row r="19" spans="1:17" ht="15.6" thickBot="1">
      <c r="A19" s="435"/>
      <c r="B19" s="165"/>
      <c r="C19" s="439" t="s">
        <v>87</v>
      </c>
      <c r="D19" s="417"/>
      <c r="E19" s="162"/>
      <c r="F19" s="36">
        <v>1</v>
      </c>
      <c r="G19" s="142">
        <v>22</v>
      </c>
      <c r="H19" s="409"/>
      <c r="I19" s="415"/>
      <c r="J19" s="144">
        <f t="shared" si="0"/>
        <v>0</v>
      </c>
      <c r="K19" s="156">
        <v>0</v>
      </c>
      <c r="L19" s="157">
        <v>0</v>
      </c>
      <c r="M19" s="39"/>
      <c r="N19" s="38"/>
      <c r="O19" s="159">
        <f t="shared" si="2"/>
        <v>0</v>
      </c>
      <c r="P19" s="160">
        <f t="shared" si="3"/>
        <v>0</v>
      </c>
      <c r="Q19" s="161">
        <f t="shared" si="4"/>
        <v>0</v>
      </c>
    </row>
    <row r="20" spans="1:17" ht="15.6" thickBot="1">
      <c r="A20" s="436"/>
      <c r="B20" s="166"/>
      <c r="C20" s="440"/>
      <c r="D20" s="441"/>
      <c r="E20" s="167"/>
      <c r="F20" s="36">
        <v>1</v>
      </c>
      <c r="G20" s="142">
        <v>22</v>
      </c>
      <c r="H20" s="430"/>
      <c r="I20" s="431"/>
      <c r="J20" s="144">
        <f t="shared" si="0"/>
        <v>0</v>
      </c>
      <c r="K20" s="156">
        <v>0</v>
      </c>
      <c r="L20" s="157">
        <v>0</v>
      </c>
      <c r="M20" s="152"/>
      <c r="N20" s="151"/>
      <c r="O20" s="159">
        <f t="shared" si="2"/>
        <v>0</v>
      </c>
      <c r="P20" s="160">
        <f t="shared" si="3"/>
        <v>0</v>
      </c>
      <c r="Q20" s="161">
        <f t="shared" si="4"/>
        <v>0</v>
      </c>
    </row>
    <row r="21" spans="1:17" ht="15.6" thickBot="1">
      <c r="A21" s="422" t="s">
        <v>79</v>
      </c>
      <c r="B21" s="176"/>
      <c r="C21" s="175" t="s">
        <v>80</v>
      </c>
      <c r="D21" s="141"/>
      <c r="E21" s="141"/>
      <c r="F21" s="142">
        <v>1</v>
      </c>
      <c r="G21" s="142">
        <v>22</v>
      </c>
      <c r="H21" s="418"/>
      <c r="I21" s="429"/>
      <c r="J21" s="144">
        <f t="shared" si="0"/>
        <v>0</v>
      </c>
      <c r="K21" s="156">
        <v>0</v>
      </c>
      <c r="L21" s="157">
        <v>0</v>
      </c>
      <c r="M21" s="145"/>
      <c r="N21" s="144"/>
      <c r="O21" s="159">
        <f t="shared" si="2"/>
        <v>0</v>
      </c>
      <c r="P21" s="160">
        <f t="shared" si="3"/>
        <v>0</v>
      </c>
      <c r="Q21" s="161">
        <f t="shared" si="4"/>
        <v>0</v>
      </c>
    </row>
    <row r="22" spans="1:17" ht="15.6" thickBot="1">
      <c r="A22" s="423"/>
      <c r="B22" s="133"/>
      <c r="C22" s="121"/>
      <c r="D22" s="122"/>
      <c r="E22" s="122"/>
      <c r="F22" s="142">
        <v>1</v>
      </c>
      <c r="G22" s="142">
        <v>22</v>
      </c>
      <c r="H22" s="117"/>
      <c r="I22" s="118"/>
      <c r="J22" s="144">
        <f t="shared" si="0"/>
        <v>0</v>
      </c>
      <c r="K22" s="156">
        <v>0</v>
      </c>
      <c r="L22" s="157">
        <v>0</v>
      </c>
      <c r="M22" s="39"/>
      <c r="N22" s="38"/>
      <c r="O22" s="159">
        <f t="shared" si="2"/>
        <v>0</v>
      </c>
      <c r="P22" s="160">
        <f t="shared" si="3"/>
        <v>0</v>
      </c>
      <c r="Q22" s="161">
        <f t="shared" si="4"/>
        <v>0</v>
      </c>
    </row>
    <row r="23" spans="1:17" ht="15.6" thickBot="1">
      <c r="A23" s="423"/>
      <c r="B23" s="179"/>
      <c r="C23" s="132"/>
      <c r="D23" s="155"/>
      <c r="E23" s="155"/>
      <c r="F23" s="142">
        <v>1</v>
      </c>
      <c r="G23" s="180">
        <v>22</v>
      </c>
      <c r="H23" s="181"/>
      <c r="I23" s="182"/>
      <c r="J23" s="183">
        <f t="shared" si="0"/>
        <v>0</v>
      </c>
      <c r="K23" s="156">
        <v>0</v>
      </c>
      <c r="L23" s="157">
        <v>0</v>
      </c>
      <c r="M23" s="158"/>
      <c r="N23" s="157"/>
      <c r="O23" s="159">
        <f t="shared" si="2"/>
        <v>0</v>
      </c>
      <c r="P23" s="160">
        <f t="shared" si="3"/>
        <v>0</v>
      </c>
      <c r="Q23" s="161">
        <f t="shared" si="4"/>
        <v>0</v>
      </c>
    </row>
    <row r="24" spans="1:17" ht="15" customHeight="1" thickBot="1">
      <c r="A24" s="422" t="s">
        <v>88</v>
      </c>
      <c r="B24" s="176"/>
      <c r="C24" s="432" t="s">
        <v>173</v>
      </c>
      <c r="D24" s="433"/>
      <c r="E24" s="164"/>
      <c r="F24" s="142">
        <v>3</v>
      </c>
      <c r="G24" s="180">
        <v>22</v>
      </c>
      <c r="H24" s="418">
        <v>30000</v>
      </c>
      <c r="I24" s="429"/>
      <c r="J24" s="183">
        <f>H24*F24/$D$3*G24</f>
        <v>90000</v>
      </c>
      <c r="K24" s="156">
        <v>0</v>
      </c>
      <c r="L24" s="157">
        <v>0</v>
      </c>
      <c r="M24" s="145"/>
      <c r="N24" s="144"/>
      <c r="O24" s="159">
        <f t="shared" si="2"/>
        <v>13500</v>
      </c>
      <c r="P24" s="160">
        <f t="shared" si="3"/>
        <v>103500</v>
      </c>
      <c r="Q24" s="161">
        <f t="shared" si="4"/>
        <v>90045</v>
      </c>
    </row>
    <row r="25" spans="1:17" ht="15.6" thickBot="1">
      <c r="A25" s="423"/>
      <c r="B25" s="133"/>
      <c r="C25" s="442"/>
      <c r="D25" s="443"/>
      <c r="E25" s="162"/>
      <c r="F25" s="142">
        <v>1</v>
      </c>
      <c r="G25" s="180">
        <v>22</v>
      </c>
      <c r="H25" s="409"/>
      <c r="I25" s="415"/>
      <c r="J25" s="183">
        <f t="shared" si="0"/>
        <v>0</v>
      </c>
      <c r="K25" s="156">
        <v>0</v>
      </c>
      <c r="L25" s="157">
        <v>0</v>
      </c>
      <c r="M25" s="39"/>
      <c r="N25" s="38"/>
      <c r="O25" s="159">
        <f t="shared" si="2"/>
        <v>0</v>
      </c>
      <c r="P25" s="160">
        <f t="shared" si="3"/>
        <v>0</v>
      </c>
      <c r="Q25" s="161">
        <f t="shared" si="4"/>
        <v>0</v>
      </c>
    </row>
    <row r="26" spans="1:17" ht="15.6" thickBot="1">
      <c r="A26" s="423"/>
      <c r="B26" s="177"/>
      <c r="C26" s="440"/>
      <c r="D26" s="441"/>
      <c r="E26" s="167"/>
      <c r="F26" s="142">
        <v>1</v>
      </c>
      <c r="G26" s="180">
        <v>22</v>
      </c>
      <c r="H26" s="430"/>
      <c r="I26" s="431"/>
      <c r="J26" s="183">
        <f t="shared" si="0"/>
        <v>0</v>
      </c>
      <c r="K26" s="156">
        <v>0</v>
      </c>
      <c r="L26" s="157">
        <v>0</v>
      </c>
      <c r="M26" s="152"/>
      <c r="N26" s="151"/>
      <c r="O26" s="159">
        <f t="shared" si="2"/>
        <v>0</v>
      </c>
      <c r="P26" s="160">
        <f t="shared" si="3"/>
        <v>0</v>
      </c>
      <c r="Q26" s="161">
        <f t="shared" si="4"/>
        <v>0</v>
      </c>
    </row>
    <row r="27" spans="1:17" ht="15.6" thickBot="1">
      <c r="A27" s="423"/>
      <c r="B27" s="163"/>
      <c r="C27" s="432"/>
      <c r="D27" s="433"/>
      <c r="E27" s="164"/>
      <c r="F27" s="142">
        <v>1</v>
      </c>
      <c r="G27" s="180">
        <v>22</v>
      </c>
      <c r="H27" s="418"/>
      <c r="I27" s="429"/>
      <c r="J27" s="183">
        <f t="shared" si="0"/>
        <v>0</v>
      </c>
      <c r="K27" s="156">
        <v>0</v>
      </c>
      <c r="L27" s="157">
        <v>0</v>
      </c>
      <c r="M27" s="145"/>
      <c r="N27" s="144"/>
      <c r="O27" s="159">
        <f t="shared" si="2"/>
        <v>0</v>
      </c>
      <c r="P27" s="160">
        <f t="shared" si="3"/>
        <v>0</v>
      </c>
      <c r="Q27" s="161">
        <f t="shared" si="4"/>
        <v>0</v>
      </c>
    </row>
    <row r="28" spans="1:17" ht="15.6" thickBot="1">
      <c r="A28" s="424"/>
      <c r="B28" s="166"/>
      <c r="C28" s="440"/>
      <c r="D28" s="441"/>
      <c r="E28" s="167"/>
      <c r="F28" s="142">
        <v>1</v>
      </c>
      <c r="G28" s="180">
        <v>22</v>
      </c>
      <c r="H28" s="430"/>
      <c r="I28" s="431"/>
      <c r="J28" s="183">
        <f t="shared" si="0"/>
        <v>0</v>
      </c>
      <c r="K28" s="156">
        <v>0</v>
      </c>
      <c r="L28" s="157">
        <v>0</v>
      </c>
      <c r="M28" s="152"/>
      <c r="N28" s="151"/>
      <c r="O28" s="159">
        <f t="shared" si="2"/>
        <v>0</v>
      </c>
      <c r="P28" s="160">
        <f t="shared" si="3"/>
        <v>0</v>
      </c>
      <c r="Q28" s="161">
        <f t="shared" si="4"/>
        <v>0</v>
      </c>
    </row>
    <row r="29" spans="1:17" ht="15">
      <c r="A29" s="131"/>
      <c r="B29" s="168"/>
      <c r="C29" s="169"/>
      <c r="D29" s="170"/>
      <c r="E29" s="170"/>
      <c r="F29" s="168"/>
      <c r="G29" s="131"/>
      <c r="H29" s="171"/>
      <c r="I29" s="172"/>
      <c r="J29" s="173"/>
      <c r="K29" s="168"/>
      <c r="L29" s="160"/>
      <c r="M29" s="173"/>
      <c r="N29" s="173"/>
      <c r="O29" s="174"/>
      <c r="P29" s="173"/>
      <c r="Q29" s="173"/>
    </row>
    <row r="30" spans="1:17" ht="28.2" customHeight="1">
      <c r="A30"/>
      <c r="B30" s="51"/>
      <c r="C30" s="51"/>
      <c r="D30" s="52" t="s">
        <v>29</v>
      </c>
      <c r="E30" s="52"/>
      <c r="F30" s="42">
        <f>SUM(F7:F29)</f>
        <v>25</v>
      </c>
      <c r="G30" s="53"/>
      <c r="H30" s="400"/>
      <c r="I30" s="401"/>
      <c r="J30" s="43">
        <f>SUM(J7:J29)</f>
        <v>1330000</v>
      </c>
      <c r="K30" s="43"/>
      <c r="L30" s="43">
        <f>SUM(L7:L29)</f>
        <v>0</v>
      </c>
      <c r="M30" s="44">
        <f>SUM(M7:M29)</f>
        <v>0</v>
      </c>
      <c r="N30" s="43"/>
      <c r="O30" s="43">
        <f>SUM(O7:O29)</f>
        <v>199500</v>
      </c>
      <c r="P30" s="54">
        <f>SUM(P7:P23)</f>
        <v>1426000</v>
      </c>
      <c r="Q30" s="43">
        <f>SUM(Q7:Q29)</f>
        <v>1330665</v>
      </c>
    </row>
    <row r="31" spans="1:17" ht="14.4" customHeight="1">
      <c r="A31"/>
      <c r="B31" s="26"/>
      <c r="C31" s="26"/>
      <c r="D31" s="26"/>
      <c r="E31" s="26"/>
      <c r="F31" s="26"/>
      <c r="G31" s="26"/>
      <c r="H31" s="32"/>
      <c r="I31" s="32"/>
      <c r="J31" s="25"/>
      <c r="K31" s="26"/>
      <c r="L31" s="25"/>
      <c r="M31" s="25"/>
      <c r="N31" s="25"/>
      <c r="O31" s="25"/>
      <c r="P31" s="57"/>
      <c r="Q31" s="25"/>
    </row>
    <row r="32" spans="1:17" ht="14.4" customHeight="1">
      <c r="A32"/>
      <c r="B32" s="26"/>
      <c r="C32" s="26"/>
      <c r="D32" s="26"/>
      <c r="E32" s="26"/>
      <c r="F32" s="26"/>
      <c r="G32" s="26"/>
      <c r="H32" s="32"/>
      <c r="I32" s="32"/>
      <c r="J32" s="25"/>
      <c r="K32" s="26"/>
      <c r="L32" s="25"/>
      <c r="M32" s="25"/>
      <c r="N32" s="25"/>
      <c r="O32" s="25"/>
      <c r="P32" s="55">
        <f>P30*1.302</f>
        <v>1856652</v>
      </c>
      <c r="Q32" s="56" t="s">
        <v>33</v>
      </c>
    </row>
    <row r="33" spans="1:16" ht="14.4" customHeight="1">
      <c r="A33" s="45"/>
      <c r="B33"/>
      <c r="C33"/>
      <c r="D33"/>
      <c r="E33"/>
      <c r="F33"/>
      <c r="G33"/>
      <c r="H33"/>
      <c r="I33"/>
      <c r="L33" s="47"/>
      <c r="M33" s="47"/>
      <c r="N33" s="47"/>
      <c r="O33" s="47"/>
      <c r="P33" s="47"/>
    </row>
    <row r="34" spans="1:16" ht="38.4" customHeight="1">
      <c r="A34" s="45"/>
      <c r="B34"/>
      <c r="C34"/>
      <c r="D34"/>
      <c r="E34"/>
      <c r="F34"/>
      <c r="G34"/>
      <c r="H34"/>
      <c r="I34"/>
      <c r="L34" s="47"/>
      <c r="M34" s="396"/>
      <c r="N34" s="397"/>
      <c r="O34" s="397"/>
      <c r="P34" s="87"/>
    </row>
    <row r="35" spans="1:16" ht="14.4" customHeight="1">
      <c r="A35" s="45"/>
      <c r="B35"/>
      <c r="C35"/>
      <c r="D35"/>
      <c r="E35"/>
      <c r="F35"/>
      <c r="G35"/>
      <c r="H35"/>
      <c r="I35"/>
      <c r="L35" s="47"/>
      <c r="M35" s="47"/>
      <c r="N35" s="47"/>
      <c r="O35" s="47"/>
      <c r="P35" s="47"/>
    </row>
    <row r="36" spans="1:16" ht="14.4" customHeight="1">
      <c r="A36" s="45"/>
      <c r="B36"/>
      <c r="C36"/>
      <c r="D36"/>
      <c r="E36"/>
      <c r="F36"/>
      <c r="G36"/>
      <c r="H36"/>
      <c r="I36"/>
    </row>
    <row r="37" spans="1:16" ht="14.4" customHeight="1">
      <c r="A37" s="45"/>
      <c r="B37"/>
      <c r="C37"/>
      <c r="D37"/>
      <c r="E37"/>
      <c r="F37"/>
      <c r="G37"/>
      <c r="H37"/>
      <c r="I37"/>
    </row>
    <row r="38" spans="1:16" ht="14.4" customHeight="1">
      <c r="A38" s="45"/>
      <c r="B38"/>
      <c r="C38"/>
      <c r="D38"/>
      <c r="E38"/>
      <c r="F38"/>
      <c r="G38"/>
      <c r="H38"/>
      <c r="I38"/>
    </row>
    <row r="39" spans="1:16" ht="14.4" customHeight="1">
      <c r="A39" s="45"/>
      <c r="B39" s="46"/>
      <c r="C39" s="46"/>
      <c r="D39" s="46"/>
      <c r="E39" s="46"/>
      <c r="F39" s="46"/>
      <c r="G39" s="46"/>
      <c r="H39" s="46"/>
      <c r="I39" s="49"/>
      <c r="J39" s="47"/>
    </row>
    <row r="40" spans="1:16" ht="14.4" customHeight="1">
      <c r="A40" s="45"/>
      <c r="B40" s="46"/>
      <c r="C40" s="46"/>
      <c r="D40" s="46"/>
      <c r="E40" s="46"/>
      <c r="F40" s="46"/>
      <c r="G40" s="46"/>
      <c r="H40" s="46"/>
      <c r="I40" s="49"/>
      <c r="J40" s="47"/>
    </row>
    <row r="41" spans="1:16" ht="14.4" customHeight="1">
      <c r="A41" s="45"/>
      <c r="B41" s="46"/>
      <c r="C41" s="46"/>
      <c r="D41" s="46"/>
      <c r="E41" s="46"/>
      <c r="F41" s="46"/>
      <c r="G41" s="46"/>
      <c r="H41" s="46"/>
      <c r="I41" s="49"/>
      <c r="J41" s="47"/>
    </row>
    <row r="42" spans="1:16" ht="14.4" customHeight="1">
      <c r="A42" s="45"/>
      <c r="B42" s="46"/>
      <c r="C42" s="46"/>
      <c r="D42" s="46"/>
      <c r="E42" s="46"/>
      <c r="F42" s="46"/>
      <c r="G42" s="46"/>
      <c r="H42" s="46"/>
      <c r="I42" s="49"/>
      <c r="J42" s="47"/>
    </row>
    <row r="43" spans="1:16" ht="14.4" customHeight="1">
      <c r="A43" s="45"/>
      <c r="B43" s="46"/>
      <c r="C43" s="46"/>
      <c r="D43" s="46"/>
      <c r="E43" s="46"/>
      <c r="F43" s="46"/>
      <c r="G43" s="46"/>
      <c r="H43" s="46"/>
      <c r="I43" s="49"/>
      <c r="J43" s="47"/>
    </row>
    <row r="44" spans="1:16" ht="14.4" customHeight="1">
      <c r="A44" s="45"/>
      <c r="B44" s="46"/>
      <c r="C44" s="46"/>
      <c r="D44" s="46"/>
      <c r="E44" s="46"/>
      <c r="F44" s="46"/>
      <c r="G44" s="46"/>
      <c r="H44" s="46"/>
      <c r="I44" s="49"/>
      <c r="J44" s="47"/>
    </row>
    <row r="45" spans="1:16" ht="14.4" customHeight="1">
      <c r="A45" s="45"/>
      <c r="B45" s="46"/>
      <c r="C45" s="46"/>
      <c r="D45" s="46"/>
      <c r="E45" s="46"/>
      <c r="F45" s="46"/>
      <c r="G45" s="46"/>
      <c r="H45" s="46"/>
      <c r="I45" s="49"/>
      <c r="J45" s="47"/>
    </row>
    <row r="46" spans="1:16" ht="14.4" customHeight="1">
      <c r="A46" s="45"/>
      <c r="B46" s="46"/>
      <c r="C46" s="46"/>
      <c r="D46" s="46"/>
      <c r="E46" s="46"/>
      <c r="F46" s="46"/>
      <c r="G46" s="46"/>
      <c r="H46" s="46"/>
      <c r="I46" s="49"/>
      <c r="J46" s="47"/>
    </row>
    <row r="47" spans="1:16" ht="14.4" customHeight="1">
      <c r="A47" s="45"/>
      <c r="B47" s="46"/>
      <c r="C47" s="46"/>
      <c r="D47" s="46"/>
      <c r="E47" s="46"/>
      <c r="F47" s="46"/>
      <c r="G47" s="46"/>
      <c r="H47" s="46"/>
      <c r="I47" s="49"/>
      <c r="J47" s="47"/>
    </row>
    <row r="48" spans="1:16" ht="14.4" customHeight="1">
      <c r="A48" s="45"/>
      <c r="B48" s="46"/>
      <c r="C48" s="46"/>
      <c r="D48" s="46"/>
      <c r="E48" s="46"/>
      <c r="F48" s="46"/>
      <c r="G48" s="46"/>
      <c r="H48" s="46"/>
      <c r="I48" s="49"/>
      <c r="J48" s="47"/>
    </row>
    <row r="49" spans="1:18" ht="14.4" customHeight="1">
      <c r="A49" s="45"/>
      <c r="B49" s="46"/>
      <c r="C49" s="46"/>
      <c r="D49" s="46"/>
      <c r="E49" s="46"/>
      <c r="F49" s="46"/>
      <c r="G49" s="46"/>
      <c r="H49" s="46"/>
      <c r="I49" s="49"/>
      <c r="J49" s="47"/>
    </row>
    <row r="50" spans="1:18" ht="14.4" customHeight="1">
      <c r="A50" s="45"/>
      <c r="B50" s="46"/>
      <c r="C50" s="46"/>
      <c r="D50" s="46"/>
      <c r="E50" s="46"/>
      <c r="F50" s="46"/>
      <c r="G50" s="46"/>
      <c r="H50" s="46"/>
      <c r="I50" s="49"/>
      <c r="J50" s="47"/>
    </row>
    <row r="51" spans="1:18" ht="14.4" customHeight="1">
      <c r="A51" s="45"/>
      <c r="B51" s="46"/>
      <c r="C51" s="46"/>
      <c r="D51" s="46"/>
      <c r="E51" s="46"/>
      <c r="F51" s="46"/>
      <c r="G51" s="46"/>
      <c r="H51" s="46"/>
      <c r="I51" s="49"/>
      <c r="J51" s="47"/>
    </row>
    <row r="52" spans="1:18" ht="14.4" customHeight="1">
      <c r="A52" s="45"/>
      <c r="B52" s="46"/>
      <c r="C52" s="46"/>
      <c r="D52" s="46"/>
      <c r="E52" s="46"/>
      <c r="F52" s="46"/>
      <c r="G52" s="46"/>
      <c r="H52" s="46"/>
      <c r="I52" s="49"/>
      <c r="J52" s="47"/>
    </row>
    <row r="53" spans="1:18" ht="14.4" customHeight="1">
      <c r="A53" s="45"/>
      <c r="B53" s="46"/>
      <c r="C53" s="46"/>
      <c r="D53" s="46"/>
      <c r="E53" s="46"/>
      <c r="F53" s="46"/>
      <c r="G53" s="46"/>
      <c r="H53" s="46"/>
      <c r="I53" s="49"/>
      <c r="J53" s="47"/>
    </row>
    <row r="54" spans="1:18" s="24" customFormat="1" ht="24.6" customHeight="1">
      <c r="A54" s="45"/>
      <c r="B54" s="46"/>
      <c r="C54" s="46"/>
      <c r="D54" s="46"/>
      <c r="E54" s="46"/>
      <c r="F54" s="46"/>
      <c r="G54" s="46"/>
      <c r="H54" s="46"/>
      <c r="I54" s="49"/>
      <c r="J54" s="47"/>
      <c r="K54"/>
      <c r="L54"/>
      <c r="M54"/>
      <c r="N54"/>
      <c r="O54"/>
      <c r="P54"/>
      <c r="Q54"/>
      <c r="R54"/>
    </row>
    <row r="55" spans="1:18">
      <c r="A55" s="45"/>
      <c r="B55" s="46"/>
      <c r="C55" s="46"/>
      <c r="D55" s="46"/>
      <c r="E55" s="46"/>
      <c r="F55" s="46"/>
      <c r="G55" s="46"/>
      <c r="H55" s="46"/>
      <c r="I55" s="49"/>
      <c r="J55" s="47"/>
    </row>
    <row r="56" spans="1:18">
      <c r="A56" s="45"/>
      <c r="B56" s="46"/>
      <c r="C56" s="46"/>
      <c r="D56" s="46"/>
      <c r="E56" s="46"/>
      <c r="F56" s="46"/>
      <c r="G56" s="46"/>
      <c r="H56" s="46"/>
      <c r="I56" s="49"/>
      <c r="J56" s="47"/>
    </row>
    <row r="57" spans="1:18" ht="31.2" customHeight="1">
      <c r="A57" s="45"/>
      <c r="B57" s="46"/>
      <c r="C57" s="46"/>
      <c r="D57" s="46"/>
      <c r="E57" s="46"/>
      <c r="F57" s="46"/>
      <c r="G57" s="46"/>
      <c r="H57" s="46"/>
      <c r="I57" s="49"/>
      <c r="J57" s="47"/>
    </row>
    <row r="58" spans="1:18" ht="48" customHeight="1">
      <c r="A58" s="45"/>
      <c r="B58" s="46"/>
      <c r="C58" s="46"/>
      <c r="D58" s="46"/>
      <c r="E58" s="46"/>
      <c r="F58" s="46"/>
      <c r="G58" s="46"/>
      <c r="H58" s="46"/>
      <c r="I58" s="49"/>
      <c r="J58" s="47"/>
    </row>
    <row r="59" spans="1:18" ht="18" customHeight="1">
      <c r="A59" s="45"/>
      <c r="B59" s="46"/>
      <c r="C59" s="46"/>
      <c r="D59" s="46"/>
      <c r="E59" s="46"/>
      <c r="F59" s="46"/>
      <c r="G59" s="46"/>
      <c r="H59" s="46"/>
      <c r="I59" s="49"/>
      <c r="J59" s="47"/>
    </row>
    <row r="60" spans="1:18" ht="55.2" customHeight="1">
      <c r="A60" s="45"/>
      <c r="B60" s="46"/>
      <c r="C60" s="46"/>
      <c r="D60" s="46"/>
      <c r="E60" s="46"/>
      <c r="F60" s="46"/>
      <c r="G60" s="46"/>
      <c r="H60" s="46"/>
      <c r="I60" s="49"/>
      <c r="J60" s="47"/>
    </row>
    <row r="61" spans="1:18" ht="37.950000000000003" customHeight="1">
      <c r="A61" s="45"/>
      <c r="B61" s="46"/>
      <c r="C61" s="46"/>
      <c r="D61" s="46"/>
      <c r="E61" s="46"/>
      <c r="F61" s="46"/>
      <c r="G61" s="46"/>
      <c r="H61" s="46"/>
      <c r="I61" s="49"/>
      <c r="J61" s="47"/>
    </row>
    <row r="62" spans="1:18" ht="14.7" customHeight="1">
      <c r="A62" s="45"/>
      <c r="B62" s="46"/>
      <c r="C62" s="46"/>
      <c r="D62" s="46"/>
      <c r="E62" s="46"/>
      <c r="F62" s="46"/>
      <c r="G62" s="46"/>
      <c r="H62" s="46"/>
      <c r="I62" s="49"/>
      <c r="J62" s="47"/>
    </row>
    <row r="63" spans="1:18" ht="19.95" customHeight="1">
      <c r="A63" s="45"/>
      <c r="B63" s="46"/>
      <c r="C63" s="46"/>
      <c r="D63" s="46"/>
      <c r="E63" s="46"/>
      <c r="F63" s="46"/>
      <c r="G63" s="46"/>
      <c r="H63" s="46"/>
      <c r="I63" s="49"/>
      <c r="J63" s="47"/>
    </row>
    <row r="64" spans="1:18" ht="15" customHeight="1">
      <c r="A64" s="45"/>
      <c r="B64" s="46"/>
      <c r="C64" s="46"/>
      <c r="D64" s="46"/>
      <c r="E64" s="46"/>
      <c r="F64" s="46"/>
      <c r="G64" s="46"/>
      <c r="H64" s="46"/>
      <c r="I64" s="49"/>
      <c r="J64" s="47"/>
    </row>
    <row r="65" spans="1:18" ht="15" customHeight="1">
      <c r="A65" s="45"/>
      <c r="B65" s="46"/>
      <c r="C65" s="46"/>
      <c r="D65" s="46"/>
      <c r="E65" s="46"/>
      <c r="F65" s="46"/>
      <c r="G65" s="46"/>
      <c r="H65" s="46"/>
      <c r="I65" s="49"/>
      <c r="J65" s="47"/>
    </row>
    <row r="66" spans="1:18" ht="18.600000000000001" customHeight="1">
      <c r="A66" s="45"/>
      <c r="B66" s="46"/>
      <c r="C66" s="46"/>
      <c r="D66" s="46"/>
      <c r="E66" s="46"/>
      <c r="F66" s="46"/>
      <c r="G66" s="46"/>
      <c r="H66" s="46"/>
      <c r="I66" s="49"/>
      <c r="J66" s="47"/>
    </row>
    <row r="67" spans="1:18">
      <c r="A67" s="45"/>
      <c r="B67" s="46"/>
      <c r="C67" s="46"/>
      <c r="D67" s="46"/>
      <c r="E67" s="46"/>
      <c r="F67" s="46"/>
      <c r="G67" s="46"/>
      <c r="H67" s="46"/>
      <c r="I67" s="49"/>
      <c r="J67" s="47"/>
    </row>
    <row r="68" spans="1:18">
      <c r="A68" s="45"/>
      <c r="B68" s="46"/>
      <c r="C68" s="46"/>
      <c r="D68" s="46"/>
      <c r="E68" s="46"/>
      <c r="F68" s="46"/>
      <c r="G68" s="46"/>
      <c r="H68" s="46"/>
      <c r="I68" s="49"/>
      <c r="J68" s="47"/>
    </row>
    <row r="69" spans="1:18">
      <c r="A69" s="45"/>
      <c r="B69" s="46"/>
      <c r="C69" s="46"/>
      <c r="D69" s="46"/>
      <c r="E69" s="46"/>
      <c r="F69" s="46"/>
      <c r="G69" s="46"/>
      <c r="H69" s="46"/>
      <c r="I69" s="49"/>
      <c r="J69" s="47"/>
    </row>
    <row r="70" spans="1:18" ht="14.7" customHeight="1">
      <c r="A70" s="45"/>
      <c r="B70" s="46"/>
      <c r="C70" s="46"/>
      <c r="D70" s="46"/>
      <c r="E70" s="46"/>
      <c r="F70" s="46"/>
      <c r="G70" s="46"/>
      <c r="H70" s="46"/>
      <c r="I70" s="49"/>
      <c r="J70" s="47"/>
    </row>
    <row r="71" spans="1:18" ht="15.6" customHeight="1">
      <c r="A71" s="45"/>
      <c r="B71" s="46"/>
      <c r="C71" s="46"/>
      <c r="D71" s="46"/>
      <c r="E71" s="46"/>
      <c r="F71" s="46"/>
      <c r="G71" s="46"/>
      <c r="H71" s="46"/>
      <c r="I71" s="49"/>
      <c r="J71" s="47"/>
    </row>
    <row r="72" spans="1:18" ht="15.6" customHeight="1">
      <c r="A72" s="45"/>
      <c r="B72" s="46"/>
      <c r="C72" s="46"/>
      <c r="D72" s="46"/>
      <c r="E72" s="46"/>
      <c r="F72" s="46"/>
      <c r="G72" s="46"/>
      <c r="H72" s="46"/>
      <c r="I72" s="49"/>
      <c r="J72" s="47"/>
    </row>
    <row r="73" spans="1:18" ht="30" customHeight="1">
      <c r="A73" s="45"/>
      <c r="B73" s="46"/>
      <c r="C73" s="46"/>
      <c r="D73" s="46"/>
      <c r="E73" s="46"/>
      <c r="F73" s="46"/>
      <c r="G73" s="46"/>
      <c r="H73" s="46"/>
      <c r="I73" s="49"/>
      <c r="J73" s="47"/>
    </row>
    <row r="74" spans="1:18" ht="15.75" customHeight="1">
      <c r="A74" s="45"/>
      <c r="B74" s="46"/>
      <c r="C74" s="46"/>
      <c r="D74" s="46"/>
      <c r="E74" s="46"/>
      <c r="F74" s="46"/>
      <c r="G74" s="46"/>
      <c r="H74" s="46"/>
      <c r="I74" s="49"/>
      <c r="J74" s="47"/>
    </row>
    <row r="75" spans="1:18" ht="15.75" customHeight="1">
      <c r="A75" s="45"/>
      <c r="B75" s="46"/>
      <c r="C75" s="46"/>
      <c r="D75" s="46"/>
      <c r="E75" s="46"/>
      <c r="F75" s="46"/>
      <c r="G75" s="46"/>
      <c r="H75" s="46"/>
      <c r="I75" s="49"/>
      <c r="J75" s="47"/>
    </row>
    <row r="76" spans="1:18">
      <c r="A76" s="45"/>
      <c r="B76" s="46"/>
      <c r="C76" s="46"/>
      <c r="D76" s="46"/>
      <c r="E76" s="46"/>
      <c r="F76" s="46"/>
      <c r="G76" s="46"/>
      <c r="H76" s="46"/>
      <c r="I76" s="49"/>
      <c r="J76" s="47"/>
    </row>
    <row r="77" spans="1:18">
      <c r="A77" s="45"/>
      <c r="B77" s="46"/>
      <c r="C77" s="46"/>
      <c r="D77" s="46"/>
      <c r="E77" s="46"/>
      <c r="F77" s="46"/>
      <c r="G77" s="46"/>
      <c r="H77" s="46"/>
      <c r="I77" s="49"/>
      <c r="J77" s="47"/>
    </row>
    <row r="78" spans="1:18">
      <c r="A78" s="45"/>
      <c r="B78" s="46"/>
      <c r="C78" s="46"/>
      <c r="D78" s="46"/>
      <c r="E78" s="46"/>
      <c r="F78" s="46"/>
      <c r="G78" s="46"/>
      <c r="H78" s="46"/>
      <c r="I78" s="49"/>
      <c r="J78" s="47"/>
    </row>
    <row r="79" spans="1:18">
      <c r="A79" s="45"/>
      <c r="B79" s="46"/>
      <c r="C79" s="46"/>
      <c r="D79" s="46"/>
      <c r="E79" s="46"/>
      <c r="F79" s="46"/>
      <c r="G79" s="46"/>
      <c r="H79" s="46"/>
      <c r="I79" s="49"/>
      <c r="J79" s="47"/>
    </row>
    <row r="80" spans="1:18" ht="14.7" customHeight="1">
      <c r="A80" s="45"/>
      <c r="B80" s="46"/>
      <c r="C80" s="46"/>
      <c r="D80" s="46"/>
      <c r="E80" s="46"/>
      <c r="F80" s="46"/>
      <c r="G80" s="46"/>
      <c r="H80" s="46"/>
      <c r="I80" s="49"/>
      <c r="J80" s="47"/>
      <c r="R80" s="24"/>
    </row>
    <row r="81" spans="1:10">
      <c r="A81" s="45"/>
      <c r="B81" s="46"/>
      <c r="C81" s="46"/>
      <c r="D81" s="46"/>
      <c r="E81" s="46"/>
      <c r="F81" s="46"/>
      <c r="G81" s="46"/>
      <c r="H81" s="46"/>
      <c r="I81" s="49"/>
      <c r="J81" s="47"/>
    </row>
    <row r="82" spans="1:10">
      <c r="A82" s="45"/>
      <c r="B82" s="46"/>
      <c r="C82" s="46"/>
      <c r="D82" s="46"/>
      <c r="E82" s="46"/>
      <c r="F82" s="46"/>
      <c r="G82" s="46"/>
      <c r="H82" s="46"/>
      <c r="I82" s="49"/>
      <c r="J82" s="47"/>
    </row>
    <row r="83" spans="1:10">
      <c r="A83" s="45"/>
      <c r="B83" s="46"/>
      <c r="C83" s="46"/>
      <c r="D83" s="46"/>
      <c r="E83" s="46"/>
      <c r="F83" s="46"/>
      <c r="G83" s="46"/>
      <c r="H83" s="46"/>
      <c r="I83" s="49"/>
      <c r="J83" s="47"/>
    </row>
    <row r="84" spans="1:10">
      <c r="A84" s="45"/>
      <c r="B84" s="46"/>
      <c r="C84" s="46"/>
      <c r="D84" s="46"/>
      <c r="E84" s="46"/>
      <c r="F84" s="46"/>
      <c r="G84" s="46"/>
      <c r="H84" s="46"/>
      <c r="I84" s="49"/>
      <c r="J84" s="47"/>
    </row>
    <row r="85" spans="1:10" ht="13.5" customHeight="1">
      <c r="A85" s="45"/>
      <c r="B85" s="46"/>
      <c r="C85" s="46"/>
      <c r="D85" s="46"/>
      <c r="E85" s="46"/>
      <c r="F85" s="46"/>
      <c r="G85" s="46"/>
      <c r="H85" s="46"/>
      <c r="I85" s="49"/>
      <c r="J85" s="47"/>
    </row>
    <row r="86" spans="1:10" ht="15.6" customHeight="1">
      <c r="A86" s="45"/>
      <c r="B86" s="46"/>
      <c r="C86" s="46"/>
      <c r="D86" s="46"/>
      <c r="E86" s="46"/>
      <c r="F86" s="46"/>
      <c r="G86" s="46"/>
      <c r="H86" s="46"/>
      <c r="I86" s="49"/>
      <c r="J86" s="47"/>
    </row>
    <row r="87" spans="1:10">
      <c r="A87" s="45"/>
      <c r="B87" s="46"/>
      <c r="C87" s="46"/>
      <c r="D87" s="46"/>
      <c r="E87" s="46"/>
      <c r="F87" s="46"/>
      <c r="G87" s="46"/>
      <c r="H87" s="46"/>
      <c r="I87" s="49"/>
      <c r="J87" s="47"/>
    </row>
    <row r="88" spans="1:10" ht="13.95" customHeight="1">
      <c r="A88" s="45"/>
      <c r="B88" s="46"/>
      <c r="C88" s="46"/>
      <c r="D88" s="46"/>
      <c r="E88" s="46"/>
      <c r="F88" s="46"/>
      <c r="G88" s="46"/>
      <c r="H88" s="46"/>
      <c r="I88" s="49"/>
      <c r="J88" s="47"/>
    </row>
    <row r="89" spans="1:10" ht="13.2" customHeight="1">
      <c r="A89" s="45"/>
      <c r="B89" s="46"/>
      <c r="C89" s="46"/>
      <c r="D89" s="46"/>
      <c r="E89" s="46"/>
      <c r="F89" s="46"/>
      <c r="G89" s="46"/>
      <c r="H89" s="46"/>
      <c r="I89" s="49"/>
      <c r="J89" s="47"/>
    </row>
    <row r="90" spans="1:10">
      <c r="A90" s="45"/>
      <c r="B90" s="46"/>
      <c r="C90" s="46"/>
      <c r="D90" s="46"/>
      <c r="E90" s="46"/>
      <c r="F90" s="46"/>
      <c r="G90" s="46"/>
      <c r="H90" s="46"/>
      <c r="I90" s="49"/>
      <c r="J90" s="47"/>
    </row>
    <row r="91" spans="1:10">
      <c r="A91" s="45"/>
      <c r="B91" s="46"/>
      <c r="C91" s="46"/>
      <c r="D91" s="46"/>
      <c r="E91" s="46"/>
      <c r="F91" s="46"/>
      <c r="G91" s="46"/>
      <c r="H91" s="46"/>
      <c r="I91" s="49"/>
      <c r="J91" s="47"/>
    </row>
    <row r="92" spans="1:10">
      <c r="A92" s="45"/>
      <c r="B92" s="46"/>
      <c r="C92" s="46"/>
      <c r="D92" s="46"/>
      <c r="E92" s="46"/>
      <c r="F92" s="46"/>
      <c r="G92" s="46"/>
      <c r="H92" s="46"/>
      <c r="I92" s="49"/>
      <c r="J92" s="47"/>
    </row>
    <row r="93" spans="1:10">
      <c r="A93" s="45"/>
      <c r="B93" s="46"/>
      <c r="C93" s="46"/>
      <c r="D93" s="46"/>
      <c r="E93" s="46"/>
      <c r="F93" s="46"/>
      <c r="G93" s="46"/>
      <c r="H93" s="46"/>
      <c r="I93" s="49"/>
      <c r="J93" s="47"/>
    </row>
    <row r="94" spans="1:10" ht="17.100000000000001" customHeight="1">
      <c r="A94" s="45"/>
      <c r="B94" s="46"/>
      <c r="C94" s="46"/>
      <c r="D94" s="46"/>
      <c r="E94" s="46"/>
      <c r="F94" s="46"/>
      <c r="G94" s="46"/>
      <c r="H94" s="46"/>
      <c r="I94" s="49"/>
      <c r="J94" s="47"/>
    </row>
    <row r="95" spans="1:10">
      <c r="A95" s="45"/>
      <c r="B95" s="46"/>
      <c r="C95" s="46"/>
      <c r="D95" s="46"/>
      <c r="E95" s="46"/>
      <c r="F95" s="46"/>
      <c r="G95" s="46"/>
      <c r="H95" s="46"/>
      <c r="I95" s="49"/>
      <c r="J95" s="47"/>
    </row>
    <row r="96" spans="1:10">
      <c r="A96" s="45"/>
      <c r="B96" s="46"/>
      <c r="C96" s="46"/>
      <c r="D96" s="46"/>
      <c r="E96" s="46"/>
      <c r="F96" s="46"/>
      <c r="G96" s="46"/>
      <c r="H96" s="46"/>
      <c r="I96" s="49"/>
      <c r="J96" s="47"/>
    </row>
    <row r="97" spans="1:10">
      <c r="A97" s="45"/>
      <c r="B97" s="46"/>
      <c r="C97" s="46"/>
      <c r="D97" s="46"/>
      <c r="E97" s="46"/>
      <c r="F97" s="46"/>
      <c r="G97" s="46"/>
      <c r="H97" s="46"/>
      <c r="I97" s="49"/>
      <c r="J97" s="47"/>
    </row>
    <row r="98" spans="1:10" ht="14.7" customHeight="1">
      <c r="A98" s="45"/>
      <c r="B98" s="46"/>
      <c r="C98" s="46"/>
      <c r="D98" s="46"/>
      <c r="E98" s="46"/>
      <c r="F98" s="46"/>
      <c r="G98" s="46"/>
      <c r="H98" s="46"/>
      <c r="I98" s="49"/>
      <c r="J98" s="47"/>
    </row>
    <row r="99" spans="1:10">
      <c r="A99" s="45"/>
      <c r="B99" s="46"/>
      <c r="C99" s="46"/>
      <c r="D99" s="46"/>
      <c r="E99" s="46"/>
      <c r="F99" s="46"/>
      <c r="G99" s="46"/>
      <c r="H99" s="46"/>
      <c r="I99" s="49"/>
      <c r="J99" s="47"/>
    </row>
    <row r="100" spans="1:10">
      <c r="A100" s="45"/>
      <c r="B100" s="46"/>
      <c r="C100" s="46"/>
      <c r="D100" s="46"/>
      <c r="E100" s="46"/>
      <c r="F100" s="46"/>
      <c r="G100" s="46"/>
      <c r="H100" s="46"/>
      <c r="I100" s="49"/>
      <c r="J100" s="47"/>
    </row>
    <row r="101" spans="1:10" ht="15.75" customHeight="1">
      <c r="A101" s="45"/>
      <c r="B101" s="46"/>
      <c r="C101" s="46"/>
      <c r="D101" s="46"/>
      <c r="E101" s="46"/>
      <c r="F101" s="46"/>
      <c r="G101" s="46"/>
      <c r="H101" s="46"/>
      <c r="I101" s="49"/>
      <c r="J101" s="47"/>
    </row>
    <row r="102" spans="1:10" ht="14.4" customHeight="1">
      <c r="A102" s="45"/>
      <c r="B102" s="46"/>
      <c r="C102" s="46"/>
      <c r="D102" s="46"/>
      <c r="E102" s="46"/>
      <c r="F102" s="46"/>
      <c r="G102" s="46"/>
      <c r="H102" s="46"/>
      <c r="I102" s="49"/>
      <c r="J102" s="47"/>
    </row>
    <row r="103" spans="1:10">
      <c r="A103" s="45"/>
      <c r="B103" s="46"/>
      <c r="C103" s="46"/>
      <c r="D103" s="46"/>
      <c r="E103" s="46"/>
      <c r="F103" s="46"/>
      <c r="G103" s="46"/>
      <c r="H103" s="46"/>
      <c r="I103" s="49"/>
      <c r="J103" s="47"/>
    </row>
    <row r="104" spans="1:10" ht="14.4" customHeight="1">
      <c r="A104" s="45"/>
      <c r="B104" s="46"/>
      <c r="C104" s="46"/>
      <c r="D104" s="46"/>
      <c r="E104" s="46"/>
      <c r="F104" s="46"/>
      <c r="G104" s="46"/>
      <c r="H104" s="46"/>
      <c r="I104" s="49"/>
      <c r="J104" s="47"/>
    </row>
    <row r="105" spans="1:10">
      <c r="A105" s="45"/>
      <c r="B105" s="46"/>
      <c r="C105" s="46"/>
      <c r="D105" s="46"/>
      <c r="E105" s="46"/>
      <c r="F105" s="46"/>
      <c r="G105" s="46"/>
      <c r="H105" s="46"/>
      <c r="I105" s="49"/>
      <c r="J105" s="47"/>
    </row>
    <row r="106" spans="1:10">
      <c r="A106" s="45"/>
      <c r="B106" s="46"/>
      <c r="C106" s="46"/>
      <c r="D106" s="46"/>
      <c r="E106" s="46"/>
      <c r="F106" s="46"/>
      <c r="G106" s="46"/>
      <c r="H106" s="46"/>
      <c r="I106" s="49"/>
      <c r="J106" s="47"/>
    </row>
    <row r="107" spans="1:10">
      <c r="A107" s="45"/>
      <c r="B107" s="46"/>
      <c r="C107" s="46"/>
      <c r="D107" s="46"/>
      <c r="E107" s="46"/>
      <c r="F107" s="46"/>
      <c r="G107" s="46"/>
      <c r="H107" s="46"/>
      <c r="I107" s="49"/>
      <c r="J107" s="47"/>
    </row>
    <row r="108" spans="1:10">
      <c r="A108" s="45"/>
      <c r="B108" s="46"/>
      <c r="C108" s="46"/>
      <c r="D108" s="46"/>
      <c r="E108" s="46"/>
      <c r="F108" s="46"/>
      <c r="G108" s="46"/>
      <c r="H108" s="46"/>
      <c r="I108" s="49"/>
      <c r="J108" s="47"/>
    </row>
    <row r="109" spans="1:10">
      <c r="A109" s="45"/>
      <c r="B109" s="46"/>
      <c r="C109" s="46"/>
      <c r="D109" s="46"/>
      <c r="E109" s="46"/>
      <c r="F109" s="46"/>
      <c r="G109" s="46"/>
      <c r="H109" s="46"/>
      <c r="I109" s="49"/>
      <c r="J109" s="47"/>
    </row>
    <row r="110" spans="1:10">
      <c r="A110" s="45"/>
      <c r="B110" s="46"/>
      <c r="C110" s="46"/>
      <c r="D110" s="46"/>
      <c r="E110" s="46"/>
      <c r="F110" s="46"/>
      <c r="G110" s="46"/>
      <c r="H110" s="46"/>
      <c r="I110" s="49"/>
      <c r="J110" s="47"/>
    </row>
    <row r="111" spans="1:10">
      <c r="A111" s="45"/>
      <c r="B111" s="46"/>
      <c r="C111" s="46"/>
      <c r="D111" s="46"/>
      <c r="E111" s="46"/>
      <c r="F111" s="46"/>
      <c r="G111" s="46"/>
      <c r="H111" s="46"/>
      <c r="I111" s="49"/>
      <c r="J111" s="47"/>
    </row>
    <row r="112" spans="1:10">
      <c r="A112" s="45"/>
      <c r="B112" s="46"/>
      <c r="C112" s="46"/>
      <c r="D112" s="46"/>
      <c r="E112" s="46"/>
      <c r="F112" s="46"/>
      <c r="G112" s="46"/>
      <c r="H112" s="46"/>
      <c r="I112" s="49"/>
      <c r="J112" s="47"/>
    </row>
    <row r="113" spans="1:18">
      <c r="A113" s="45"/>
      <c r="B113" s="46"/>
      <c r="C113" s="46"/>
      <c r="D113" s="46"/>
      <c r="E113" s="46"/>
      <c r="F113" s="46"/>
      <c r="G113" s="46"/>
      <c r="H113" s="46"/>
      <c r="I113" s="49"/>
      <c r="J113" s="47"/>
    </row>
    <row r="114" spans="1:18">
      <c r="A114" s="45"/>
      <c r="B114" s="46"/>
      <c r="C114" s="46"/>
      <c r="D114" s="46"/>
      <c r="E114" s="46"/>
      <c r="F114" s="46"/>
      <c r="G114" s="46"/>
      <c r="H114" s="46"/>
      <c r="I114" s="49"/>
      <c r="J114" s="47"/>
    </row>
    <row r="115" spans="1:18">
      <c r="A115" s="45"/>
      <c r="B115" s="46"/>
      <c r="C115" s="46"/>
      <c r="D115" s="46"/>
      <c r="E115" s="46"/>
      <c r="F115" s="46"/>
      <c r="G115" s="46"/>
      <c r="H115" s="46"/>
      <c r="I115" s="49"/>
      <c r="J115" s="47"/>
    </row>
    <row r="116" spans="1:18">
      <c r="B116" s="46"/>
      <c r="C116" s="46"/>
      <c r="D116" s="46"/>
      <c r="E116" s="46"/>
      <c r="F116" s="46"/>
      <c r="G116" s="46"/>
      <c r="H116" s="46"/>
      <c r="I116" s="49"/>
      <c r="J116" s="47"/>
    </row>
    <row r="117" spans="1:18">
      <c r="B117" s="46"/>
      <c r="C117" s="46"/>
      <c r="D117" s="46"/>
      <c r="E117" s="46"/>
      <c r="F117" s="46"/>
      <c r="G117" s="46"/>
      <c r="H117" s="46"/>
      <c r="I117" s="49"/>
      <c r="J117" s="47"/>
    </row>
    <row r="118" spans="1:18">
      <c r="B118" s="46"/>
      <c r="C118" s="46"/>
      <c r="D118" s="46"/>
      <c r="E118" s="46"/>
      <c r="F118" s="46"/>
      <c r="G118" s="46"/>
      <c r="H118" s="46"/>
      <c r="I118" s="49"/>
      <c r="J118" s="47"/>
    </row>
    <row r="119" spans="1:18">
      <c r="B119" s="46"/>
      <c r="C119" s="46"/>
      <c r="D119" s="46"/>
      <c r="E119" s="46"/>
      <c r="F119" s="46"/>
      <c r="G119" s="46"/>
      <c r="H119" s="46"/>
      <c r="I119" s="49"/>
      <c r="J119" s="47"/>
      <c r="R119" s="45"/>
    </row>
    <row r="120" spans="1:18">
      <c r="B120" s="46"/>
      <c r="C120" s="46"/>
      <c r="D120" s="46"/>
      <c r="E120" s="46"/>
      <c r="F120" s="46"/>
      <c r="G120" s="46"/>
      <c r="H120" s="46"/>
      <c r="I120" s="49"/>
      <c r="J120" s="47"/>
      <c r="R120" s="45"/>
    </row>
    <row r="121" spans="1:18">
      <c r="B121" s="46"/>
      <c r="C121" s="46"/>
      <c r="D121" s="46"/>
      <c r="E121" s="46"/>
      <c r="F121" s="46"/>
      <c r="G121" s="46"/>
      <c r="H121" s="46"/>
      <c r="I121" s="49"/>
      <c r="J121" s="47"/>
      <c r="R121" s="45"/>
    </row>
    <row r="122" spans="1:18">
      <c r="R122" s="45"/>
    </row>
    <row r="123" spans="1:18">
      <c r="R123" s="45"/>
    </row>
    <row r="124" spans="1:18">
      <c r="R124" s="45"/>
    </row>
    <row r="125" spans="1:18">
      <c r="R125" s="45"/>
    </row>
    <row r="126" spans="1:18">
      <c r="R126" s="45"/>
    </row>
    <row r="127" spans="1:18">
      <c r="R127" s="45"/>
    </row>
    <row r="128" spans="1:18">
      <c r="R128" s="45"/>
    </row>
    <row r="129" spans="18:18">
      <c r="R129" s="45"/>
    </row>
    <row r="130" spans="18:18">
      <c r="R130" s="45"/>
    </row>
    <row r="131" spans="18:18">
      <c r="R131" s="45"/>
    </row>
    <row r="132" spans="18:18" ht="17.100000000000001" customHeight="1">
      <c r="R132" s="45"/>
    </row>
    <row r="133" spans="18:18">
      <c r="R133" s="45"/>
    </row>
    <row r="134" spans="18:18">
      <c r="R134" s="45"/>
    </row>
    <row r="135" spans="18:18">
      <c r="R135" s="48"/>
    </row>
    <row r="136" spans="18:18" ht="14.7" customHeight="1">
      <c r="R136" s="45"/>
    </row>
    <row r="137" spans="18:18">
      <c r="R137" s="45"/>
    </row>
    <row r="138" spans="18:18">
      <c r="R138" s="68"/>
    </row>
    <row r="139" spans="18:18" ht="15.75" customHeight="1">
      <c r="R139" s="50"/>
    </row>
    <row r="140" spans="18:18" ht="14.4" customHeight="1">
      <c r="R140" s="45"/>
    </row>
    <row r="141" spans="18:18">
      <c r="R141" s="45"/>
    </row>
    <row r="142" spans="18:18" ht="14.4" customHeight="1">
      <c r="R142" s="45"/>
    </row>
    <row r="143" spans="18:18">
      <c r="R143" s="45"/>
    </row>
    <row r="144" spans="18:18">
      <c r="R144" s="45"/>
    </row>
    <row r="145" spans="18:18">
      <c r="R145" s="45"/>
    </row>
    <row r="146" spans="18:18">
      <c r="R146" s="45"/>
    </row>
    <row r="147" spans="18:18">
      <c r="R147" s="45"/>
    </row>
    <row r="148" spans="18:18">
      <c r="R148" s="45"/>
    </row>
    <row r="149" spans="18:18">
      <c r="R149" s="45"/>
    </row>
    <row r="150" spans="18:18">
      <c r="R150" s="45"/>
    </row>
    <row r="151" spans="18:18">
      <c r="R151" s="45"/>
    </row>
    <row r="152" spans="18:18">
      <c r="R152" s="45"/>
    </row>
    <row r="153" spans="18:18">
      <c r="R153" s="45"/>
    </row>
    <row r="154" spans="18:18">
      <c r="R154" s="45"/>
    </row>
    <row r="155" spans="18:18">
      <c r="R155" s="45"/>
    </row>
    <row r="156" spans="18:18">
      <c r="R156" s="45"/>
    </row>
    <row r="157" spans="18:18">
      <c r="R157" s="45"/>
    </row>
    <row r="158" spans="18:18">
      <c r="R158" s="45"/>
    </row>
    <row r="159" spans="18:18">
      <c r="R159" s="45"/>
    </row>
    <row r="160" spans="18:18">
      <c r="R160" s="45"/>
    </row>
    <row r="161" spans="18:18">
      <c r="R161" s="45"/>
    </row>
    <row r="162" spans="18:18">
      <c r="R162" s="45"/>
    </row>
    <row r="163" spans="18:18">
      <c r="R163" s="45"/>
    </row>
    <row r="164" spans="18:18">
      <c r="R164" s="45"/>
    </row>
    <row r="165" spans="18:18">
      <c r="R165" s="45"/>
    </row>
    <row r="166" spans="18:18">
      <c r="R166" s="45"/>
    </row>
    <row r="167" spans="18:18">
      <c r="R167" s="45"/>
    </row>
    <row r="168" spans="18:18">
      <c r="R168" s="45"/>
    </row>
    <row r="169" spans="18:18">
      <c r="R169" s="45"/>
    </row>
    <row r="170" spans="18:18">
      <c r="R170" s="45"/>
    </row>
    <row r="171" spans="18:18">
      <c r="R171" s="45"/>
    </row>
    <row r="172" spans="18:18">
      <c r="R172" s="45"/>
    </row>
    <row r="173" spans="18:18">
      <c r="R173" s="48"/>
    </row>
    <row r="174" spans="18:18">
      <c r="R174" s="45"/>
    </row>
    <row r="175" spans="18:18">
      <c r="R175" s="45"/>
    </row>
    <row r="176" spans="18:18">
      <c r="R176" s="68"/>
    </row>
    <row r="177" spans="18:18">
      <c r="R177" s="50"/>
    </row>
    <row r="178" spans="18:18">
      <c r="R178" s="45"/>
    </row>
    <row r="179" spans="18:18">
      <c r="R179" s="45"/>
    </row>
    <row r="180" spans="18:18">
      <c r="R180" s="45"/>
    </row>
    <row r="181" spans="18:18">
      <c r="R181" s="45"/>
    </row>
    <row r="182" spans="18:18">
      <c r="R182" s="45"/>
    </row>
    <row r="183" spans="18:18">
      <c r="R183" s="45"/>
    </row>
    <row r="184" spans="18:18">
      <c r="R184" s="45"/>
    </row>
    <row r="185" spans="18:18">
      <c r="R185" s="45"/>
    </row>
    <row r="186" spans="18:18">
      <c r="R186" s="45"/>
    </row>
    <row r="187" spans="18:18">
      <c r="R187" s="45"/>
    </row>
    <row r="188" spans="18:18">
      <c r="R188" s="45"/>
    </row>
    <row r="189" spans="18:18">
      <c r="R189" s="45"/>
    </row>
    <row r="190" spans="18:18">
      <c r="R190" s="45"/>
    </row>
    <row r="191" spans="18:18">
      <c r="R191" s="45"/>
    </row>
    <row r="192" spans="18:18">
      <c r="R192" s="45"/>
    </row>
    <row r="193" spans="18:18">
      <c r="R193" s="45"/>
    </row>
    <row r="194" spans="18:18">
      <c r="R194" s="45"/>
    </row>
    <row r="195" spans="18:18">
      <c r="R195" s="45"/>
    </row>
    <row r="196" spans="18:18">
      <c r="R196" s="45"/>
    </row>
    <row r="197" spans="18:18">
      <c r="R197" s="48"/>
    </row>
    <row r="198" spans="18:18">
      <c r="R198" s="45"/>
    </row>
    <row r="199" spans="18:18">
      <c r="R199" s="45"/>
    </row>
    <row r="200" spans="18:18">
      <c r="R200" s="45"/>
    </row>
    <row r="201" spans="18:18">
      <c r="R201" s="45"/>
    </row>
    <row r="202" spans="18:18">
      <c r="R202" s="45"/>
    </row>
    <row r="203" spans="18:18">
      <c r="R203" s="45"/>
    </row>
    <row r="204" spans="18:18">
      <c r="R204" s="45"/>
    </row>
    <row r="205" spans="18:18">
      <c r="R205" s="45"/>
    </row>
    <row r="206" spans="18:18">
      <c r="R206" s="45"/>
    </row>
    <row r="207" spans="18:18" ht="15.6" customHeight="1">
      <c r="R207" s="45"/>
    </row>
    <row r="208" spans="18:18">
      <c r="R208" s="45"/>
    </row>
    <row r="209" spans="18:18">
      <c r="R209" s="45"/>
    </row>
    <row r="210" spans="18:18">
      <c r="R210" s="45"/>
    </row>
    <row r="211" spans="18:18">
      <c r="R211" s="45"/>
    </row>
    <row r="212" spans="18:18">
      <c r="R212" s="45"/>
    </row>
    <row r="213" spans="18:18" ht="15" customHeight="1">
      <c r="R213" s="45"/>
    </row>
    <row r="214" spans="18:18">
      <c r="R214" s="45"/>
    </row>
    <row r="215" spans="18:18" ht="15" customHeight="1">
      <c r="R215" s="45"/>
    </row>
    <row r="216" spans="18:18">
      <c r="R216" s="45"/>
    </row>
    <row r="217" spans="18:18">
      <c r="R217" s="45"/>
    </row>
    <row r="218" spans="18:18">
      <c r="R218" s="45"/>
    </row>
    <row r="219" spans="18:18">
      <c r="R219" s="45"/>
    </row>
    <row r="220" spans="18:18">
      <c r="R220" s="45"/>
    </row>
    <row r="221" spans="18:18">
      <c r="R221" s="45"/>
    </row>
    <row r="222" spans="18:18" ht="15" customHeight="1">
      <c r="R222" s="45"/>
    </row>
    <row r="223" spans="18:18">
      <c r="R223" s="45"/>
    </row>
    <row r="224" spans="18:18">
      <c r="R224" s="45"/>
    </row>
    <row r="225" spans="18:18">
      <c r="R225" s="45"/>
    </row>
    <row r="226" spans="18:18">
      <c r="R226" s="45"/>
    </row>
    <row r="227" spans="18:18">
      <c r="R227" s="45"/>
    </row>
    <row r="228" spans="18:18">
      <c r="R228" s="45"/>
    </row>
    <row r="229" spans="18:18" ht="15" customHeight="1">
      <c r="R229" s="45"/>
    </row>
    <row r="230" spans="18:18">
      <c r="R230" s="45"/>
    </row>
    <row r="231" spans="18:18">
      <c r="R231" s="45"/>
    </row>
    <row r="232" spans="18:18">
      <c r="R232" s="45"/>
    </row>
    <row r="233" spans="18:18">
      <c r="R233" s="45"/>
    </row>
    <row r="234" spans="18:18">
      <c r="R234" s="45"/>
    </row>
    <row r="235" spans="18:18">
      <c r="R235" s="45"/>
    </row>
    <row r="236" spans="18:18">
      <c r="R236" s="45"/>
    </row>
    <row r="237" spans="18:18">
      <c r="R237" s="45"/>
    </row>
    <row r="238" spans="18:18">
      <c r="R238" s="45"/>
    </row>
    <row r="239" spans="18:18">
      <c r="R239" s="45"/>
    </row>
    <row r="244" ht="31.2" customHeight="1"/>
    <row r="246" ht="60" customHeight="1"/>
    <row r="247" ht="15.6" customHeight="1"/>
    <row r="249" ht="15.6" customHeight="1"/>
    <row r="250" ht="15.6" customHeight="1"/>
    <row r="251" ht="15" customHeight="1"/>
    <row r="252" ht="15" customHeight="1"/>
    <row r="253" ht="15" customHeight="1"/>
    <row r="254" ht="15.6" customHeight="1"/>
    <row r="255" ht="15" customHeight="1"/>
    <row r="257" ht="15.6" customHeight="1"/>
    <row r="258" ht="15.6" customHeight="1"/>
    <row r="259" ht="15.6" customHeight="1"/>
    <row r="260" ht="15.6" customHeight="1"/>
    <row r="262" ht="15" customHeight="1"/>
    <row r="269" ht="15" customHeight="1"/>
  </sheetData>
  <mergeCells count="55">
    <mergeCell ref="H26:I26"/>
    <mergeCell ref="H27:I27"/>
    <mergeCell ref="A24:A28"/>
    <mergeCell ref="C10:D10"/>
    <mergeCell ref="H10:I10"/>
    <mergeCell ref="C27:D27"/>
    <mergeCell ref="A18:A20"/>
    <mergeCell ref="C18:D18"/>
    <mergeCell ref="C19:D19"/>
    <mergeCell ref="C20:D20"/>
    <mergeCell ref="C16:D16"/>
    <mergeCell ref="C28:D28"/>
    <mergeCell ref="H28:I28"/>
    <mergeCell ref="C26:D26"/>
    <mergeCell ref="C24:D24"/>
    <mergeCell ref="C25:D25"/>
    <mergeCell ref="H24:I24"/>
    <mergeCell ref="H25:I25"/>
    <mergeCell ref="A21:A23"/>
    <mergeCell ref="H21:I21"/>
    <mergeCell ref="H18:I18"/>
    <mergeCell ref="H19:I19"/>
    <mergeCell ref="H20:I20"/>
    <mergeCell ref="H12:I12"/>
    <mergeCell ref="C9:D9"/>
    <mergeCell ref="H9:I9"/>
    <mergeCell ref="C6:D6"/>
    <mergeCell ref="A7:A17"/>
    <mergeCell ref="C15:D15"/>
    <mergeCell ref="C7:D7"/>
    <mergeCell ref="H7:I7"/>
    <mergeCell ref="C8:D8"/>
    <mergeCell ref="H8:I8"/>
    <mergeCell ref="M34:O34"/>
    <mergeCell ref="Q4:Q5"/>
    <mergeCell ref="H30:I30"/>
    <mergeCell ref="K4:L4"/>
    <mergeCell ref="M4:M5"/>
    <mergeCell ref="N4:N5"/>
    <mergeCell ref="J4:J5"/>
    <mergeCell ref="H6:I6"/>
    <mergeCell ref="H13:I13"/>
    <mergeCell ref="H15:I15"/>
    <mergeCell ref="H16:I16"/>
    <mergeCell ref="P4:P5"/>
    <mergeCell ref="O4:O5"/>
    <mergeCell ref="H17:I17"/>
    <mergeCell ref="H14:I14"/>
    <mergeCell ref="H11:I11"/>
    <mergeCell ref="A2:I2"/>
    <mergeCell ref="A4:B4"/>
    <mergeCell ref="C4:D5"/>
    <mergeCell ref="F4:F5"/>
    <mergeCell ref="G4:G5"/>
    <mergeCell ref="H4:I5"/>
  </mergeCells>
  <phoneticPr fontId="52" type="noConversion"/>
  <pageMargins left="0.25" right="0.25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4:D21"/>
  <sheetViews>
    <sheetView workbookViewId="0">
      <selection activeCell="G8" sqref="G8"/>
    </sheetView>
  </sheetViews>
  <sheetFormatPr defaultRowHeight="13.2"/>
  <cols>
    <col min="2" max="2" width="7.6640625" customWidth="1"/>
    <col min="3" max="3" width="44.33203125" customWidth="1"/>
    <col min="4" max="4" width="14.5546875" customWidth="1"/>
  </cols>
  <sheetData>
    <row r="4" spans="2:4" ht="17.399999999999999">
      <c r="B4" s="382" t="s">
        <v>178</v>
      </c>
      <c r="C4" s="382"/>
      <c r="D4" s="382"/>
    </row>
    <row r="5" spans="2:4" ht="14.4" thickBot="1">
      <c r="B5" s="4"/>
      <c r="C5" s="18"/>
      <c r="D5" s="23"/>
    </row>
    <row r="6" spans="2:4" ht="13.8">
      <c r="B6" s="81">
        <v>1</v>
      </c>
      <c r="C6" s="82" t="s">
        <v>46</v>
      </c>
      <c r="D6" s="223">
        <v>1000000</v>
      </c>
    </row>
    <row r="7" spans="2:4" ht="13.8">
      <c r="B7" s="77">
        <f t="shared" ref="B7:B12" si="0">SUM(B6+1)</f>
        <v>2</v>
      </c>
      <c r="C7" s="16" t="s">
        <v>65</v>
      </c>
      <c r="D7" s="224">
        <v>300000</v>
      </c>
    </row>
    <row r="8" spans="2:4" ht="19.95" customHeight="1">
      <c r="B8" s="77">
        <f t="shared" si="0"/>
        <v>3</v>
      </c>
      <c r="C8" s="16" t="s">
        <v>155</v>
      </c>
      <c r="D8" s="224">
        <v>2000000</v>
      </c>
    </row>
    <row r="9" spans="2:4" ht="13.8">
      <c r="B9" s="77">
        <f t="shared" si="0"/>
        <v>4</v>
      </c>
      <c r="C9" s="16" t="s">
        <v>66</v>
      </c>
      <c r="D9" s="224">
        <v>20000</v>
      </c>
    </row>
    <row r="10" spans="2:4" ht="13.8">
      <c r="B10" s="77">
        <f t="shared" si="0"/>
        <v>5</v>
      </c>
      <c r="C10" s="16" t="s">
        <v>67</v>
      </c>
      <c r="D10" s="224">
        <v>10000</v>
      </c>
    </row>
    <row r="11" spans="2:4" ht="13.8">
      <c r="B11" s="77">
        <f t="shared" si="0"/>
        <v>6</v>
      </c>
      <c r="C11" s="16" t="s">
        <v>130</v>
      </c>
      <c r="D11" s="224">
        <v>540000</v>
      </c>
    </row>
    <row r="12" spans="2:4" ht="13.8">
      <c r="B12" s="77">
        <f t="shared" si="0"/>
        <v>7</v>
      </c>
      <c r="C12" s="16" t="s">
        <v>43</v>
      </c>
      <c r="D12" s="224">
        <v>200000</v>
      </c>
    </row>
    <row r="13" spans="2:4" ht="18.600000000000001" customHeight="1" thickBot="1">
      <c r="B13" s="78"/>
      <c r="C13" s="80" t="s">
        <v>3</v>
      </c>
      <c r="D13" s="225">
        <f>SUM(D6:D12)</f>
        <v>4070000</v>
      </c>
    </row>
    <row r="18" spans="2:4" ht="38.4" customHeight="1">
      <c r="B18" s="444" t="s">
        <v>156</v>
      </c>
      <c r="C18" s="444"/>
      <c r="D18" s="444"/>
    </row>
    <row r="19" spans="2:4" ht="13.8" thickBot="1">
      <c r="B19" s="445"/>
      <c r="C19" s="445"/>
      <c r="D19" s="445"/>
    </row>
    <row r="20" spans="2:4">
      <c r="B20" s="228"/>
      <c r="C20" s="446" t="s">
        <v>129</v>
      </c>
      <c r="D20" s="447"/>
    </row>
    <row r="21" spans="2:4" ht="19.95" customHeight="1" thickBot="1">
      <c r="B21" s="229"/>
      <c r="C21" s="230" t="s">
        <v>128</v>
      </c>
      <c r="D21" s="231">
        <f>20*(10000+1000)*1.2</f>
        <v>264000</v>
      </c>
    </row>
  </sheetData>
  <mergeCells count="4">
    <mergeCell ref="B18:D18"/>
    <mergeCell ref="B19:D19"/>
    <mergeCell ref="C20:D20"/>
    <mergeCell ref="B4:D4"/>
  </mergeCells>
  <phoneticPr fontId="5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A1:D11"/>
  <sheetViews>
    <sheetView workbookViewId="0">
      <selection activeCell="D5" sqref="D5"/>
    </sheetView>
  </sheetViews>
  <sheetFormatPr defaultRowHeight="13.2"/>
  <cols>
    <col min="1" max="1" width="6" customWidth="1"/>
    <col min="3" max="3" width="69.6640625" customWidth="1"/>
    <col min="4" max="4" width="14.6640625" customWidth="1"/>
  </cols>
  <sheetData>
    <row r="1" spans="1:4" ht="15.75" customHeight="1">
      <c r="A1" s="382" t="s">
        <v>40</v>
      </c>
      <c r="B1" s="382"/>
      <c r="C1" s="382"/>
      <c r="D1" s="382"/>
    </row>
    <row r="2" spans="1:4" ht="13.8">
      <c r="A2" s="4"/>
      <c r="B2" s="20"/>
      <c r="C2" s="18"/>
      <c r="D2" s="23"/>
    </row>
    <row r="3" spans="1:4" ht="14.4" thickBot="1">
      <c r="A3" s="4"/>
      <c r="B3" s="20"/>
      <c r="C3" s="18"/>
      <c r="D3" s="23"/>
    </row>
    <row r="4" spans="1:4" ht="13.8" thickBot="1">
      <c r="A4" s="92"/>
      <c r="B4" s="93"/>
      <c r="C4" s="114"/>
      <c r="D4" s="113" t="s">
        <v>72</v>
      </c>
    </row>
    <row r="5" spans="1:4" ht="16.95" customHeight="1">
      <c r="A5" s="77">
        <v>1</v>
      </c>
      <c r="B5" s="3"/>
      <c r="C5" s="115" t="s">
        <v>53</v>
      </c>
      <c r="D5" s="110">
        <v>10000000</v>
      </c>
    </row>
    <row r="6" spans="1:4" ht="16.2" customHeight="1">
      <c r="A6" s="77">
        <f>SUM(A5+1)</f>
        <v>2</v>
      </c>
      <c r="B6" s="3"/>
      <c r="C6" s="115" t="s">
        <v>44</v>
      </c>
      <c r="D6" s="111">
        <v>1000000</v>
      </c>
    </row>
    <row r="7" spans="1:4" ht="16.2" customHeight="1">
      <c r="A7" s="77">
        <f>SUM(A6+1)</f>
        <v>3</v>
      </c>
      <c r="B7" s="17"/>
      <c r="C7" s="115" t="s">
        <v>41</v>
      </c>
      <c r="D7" s="111">
        <v>200000</v>
      </c>
    </row>
    <row r="8" spans="1:4" ht="13.2" customHeight="1">
      <c r="A8" s="77">
        <f>SUM(A7+1)</f>
        <v>4</v>
      </c>
      <c r="B8" s="2"/>
      <c r="C8" s="115" t="s">
        <v>94</v>
      </c>
      <c r="D8" s="111">
        <v>0</v>
      </c>
    </row>
    <row r="9" spans="1:4" ht="16.95" customHeight="1">
      <c r="A9" s="77">
        <f>SUM(A8+1)</f>
        <v>5</v>
      </c>
      <c r="B9" s="2"/>
      <c r="C9" s="115" t="s">
        <v>149</v>
      </c>
      <c r="D9" s="111">
        <v>200000</v>
      </c>
    </row>
    <row r="10" spans="1:4" ht="16.95" customHeight="1">
      <c r="A10" s="77">
        <f>SUM(A9+1)</f>
        <v>6</v>
      </c>
      <c r="B10" s="3"/>
      <c r="C10" s="115" t="s">
        <v>43</v>
      </c>
      <c r="D10" s="111">
        <v>200000</v>
      </c>
    </row>
    <row r="11" spans="1:4" ht="16.2" thickBot="1">
      <c r="A11" s="78"/>
      <c r="B11" s="79"/>
      <c r="C11" s="116" t="s">
        <v>3</v>
      </c>
      <c r="D11" s="112">
        <f>SUM(D5:D10)</f>
        <v>11600000</v>
      </c>
    </row>
  </sheetData>
  <mergeCells count="1">
    <mergeCell ref="A1:D1"/>
  </mergeCells>
  <phoneticPr fontId="52" type="noConversion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A1:AQ11"/>
  <sheetViews>
    <sheetView workbookViewId="0">
      <selection activeCell="K5" sqref="K5"/>
    </sheetView>
  </sheetViews>
  <sheetFormatPr defaultRowHeight="13.2"/>
  <cols>
    <col min="1" max="1" width="13.33203125" customWidth="1"/>
    <col min="2" max="3" width="16" customWidth="1"/>
    <col min="4" max="41" width="12.88671875" customWidth="1"/>
    <col min="42" max="43" width="12.33203125" customWidth="1"/>
  </cols>
  <sheetData>
    <row r="1" spans="1:43" ht="14.4" customHeight="1"/>
    <row r="2" spans="1:43" ht="18" customHeight="1">
      <c r="B2" s="204" t="s">
        <v>85</v>
      </c>
      <c r="C2" s="204"/>
      <c r="D2" s="204"/>
      <c r="E2" s="204"/>
      <c r="F2" s="127"/>
      <c r="G2" s="127"/>
    </row>
    <row r="3" spans="1:43" ht="13.8" thickBot="1">
      <c r="B3" s="128"/>
      <c r="C3" s="128"/>
      <c r="D3" s="128"/>
      <c r="E3" s="128"/>
      <c r="F3" s="128"/>
      <c r="G3" s="128"/>
    </row>
    <row r="4" spans="1:43" ht="40.200000000000003" thickBot="1">
      <c r="A4" s="129"/>
      <c r="B4" s="109" t="s">
        <v>83</v>
      </c>
      <c r="C4" s="178" t="s">
        <v>86</v>
      </c>
      <c r="D4" s="109" t="s">
        <v>58</v>
      </c>
      <c r="E4" s="109" t="s">
        <v>59</v>
      </c>
      <c r="F4" s="343" t="s">
        <v>68</v>
      </c>
      <c r="G4" s="349" t="s">
        <v>56</v>
      </c>
      <c r="H4" s="63" t="s">
        <v>60</v>
      </c>
      <c r="I4" s="63" t="s">
        <v>61</v>
      </c>
      <c r="J4" s="63" t="s">
        <v>62</v>
      </c>
      <c r="K4" s="63" t="s">
        <v>63</v>
      </c>
      <c r="L4" s="342" t="s">
        <v>69</v>
      </c>
      <c r="M4" s="349" t="s">
        <v>57</v>
      </c>
      <c r="N4" s="90" t="s">
        <v>98</v>
      </c>
      <c r="O4" s="90" t="s">
        <v>99</v>
      </c>
      <c r="P4" s="90" t="s">
        <v>100</v>
      </c>
      <c r="Q4" s="90" t="s">
        <v>101</v>
      </c>
      <c r="R4" s="342" t="s">
        <v>96</v>
      </c>
      <c r="S4" s="349" t="s">
        <v>97</v>
      </c>
      <c r="T4" s="63" t="s">
        <v>133</v>
      </c>
      <c r="U4" s="63" t="s">
        <v>134</v>
      </c>
      <c r="V4" s="63" t="s">
        <v>135</v>
      </c>
      <c r="W4" s="63" t="s">
        <v>136</v>
      </c>
      <c r="X4" s="342" t="s">
        <v>137</v>
      </c>
      <c r="Y4" s="349" t="s">
        <v>138</v>
      </c>
      <c r="Z4" s="91" t="s">
        <v>139</v>
      </c>
      <c r="AA4" s="91" t="s">
        <v>140</v>
      </c>
      <c r="AB4" s="91" t="s">
        <v>141</v>
      </c>
      <c r="AC4" s="91" t="s">
        <v>142</v>
      </c>
      <c r="AD4" s="342" t="s">
        <v>143</v>
      </c>
      <c r="AE4" s="349" t="s">
        <v>144</v>
      </c>
      <c r="AF4" s="63" t="s">
        <v>163</v>
      </c>
      <c r="AG4" s="63" t="s">
        <v>164</v>
      </c>
      <c r="AH4" s="63" t="s">
        <v>165</v>
      </c>
      <c r="AI4" s="63" t="s">
        <v>166</v>
      </c>
      <c r="AJ4" s="342" t="s">
        <v>167</v>
      </c>
      <c r="AK4" s="349" t="s">
        <v>168</v>
      </c>
      <c r="AL4" s="63" t="s">
        <v>192</v>
      </c>
      <c r="AM4" s="63" t="s">
        <v>193</v>
      </c>
      <c r="AN4" s="63" t="s">
        <v>194</v>
      </c>
      <c r="AO4" s="63" t="s">
        <v>195</v>
      </c>
      <c r="AP4" s="342" t="s">
        <v>196</v>
      </c>
      <c r="AQ4" s="349" t="s">
        <v>197</v>
      </c>
    </row>
    <row r="5" spans="1:43" ht="18.600000000000001" customHeight="1" thickBot="1">
      <c r="A5" s="260" t="s">
        <v>132</v>
      </c>
      <c r="B5" s="94" t="s">
        <v>174</v>
      </c>
      <c r="C5" s="357">
        <f>SUM('Калькуляция установок'!E20)</f>
        <v>494400000</v>
      </c>
      <c r="D5" s="261">
        <f>SUM(C5*0.3)</f>
        <v>148320000</v>
      </c>
      <c r="E5" s="233">
        <f>SUM(C5*0.4)</f>
        <v>197760000</v>
      </c>
      <c r="F5" s="311">
        <f>SUM(D5:E5)</f>
        <v>346080000</v>
      </c>
      <c r="G5" s="346">
        <f>SUM(F5)</f>
        <v>346080000</v>
      </c>
      <c r="H5" s="233">
        <f>SUM(C5*0.15)</f>
        <v>74160000</v>
      </c>
      <c r="I5" s="233"/>
      <c r="J5" s="233"/>
      <c r="K5" s="123">
        <f>SUM(C5*0.05)</f>
        <v>24720000</v>
      </c>
      <c r="L5" s="311">
        <f>SUM(H5+I5+J5+K5)</f>
        <v>98880000</v>
      </c>
      <c r="M5" s="346">
        <f>SUM(L5+G5)</f>
        <v>444960000</v>
      </c>
      <c r="N5" s="233"/>
      <c r="O5" s="233"/>
      <c r="P5" s="233"/>
      <c r="Q5" s="233">
        <f>SUM(C5*0.1)</f>
        <v>49440000</v>
      </c>
      <c r="R5" s="311">
        <f>SUM(N5+O5+P5+Q5)</f>
        <v>49440000</v>
      </c>
      <c r="S5" s="346">
        <f>SUM(R5+M5)</f>
        <v>494400000</v>
      </c>
      <c r="T5" s="233"/>
      <c r="U5" s="233"/>
      <c r="V5" s="233"/>
      <c r="W5" s="233"/>
      <c r="X5" s="311">
        <f>SUM(T5:W5)</f>
        <v>0</v>
      </c>
      <c r="Y5" s="346">
        <f>SUM(X5+S5)</f>
        <v>494400000</v>
      </c>
      <c r="Z5" s="259"/>
      <c r="AA5" s="259"/>
      <c r="AB5" s="259"/>
      <c r="AC5" s="259"/>
      <c r="AD5" s="359">
        <f>SUM(Z5+AA5+AB5+AC5)</f>
        <v>0</v>
      </c>
      <c r="AE5" s="346">
        <f>SUM(AD5+Y5)</f>
        <v>494400000</v>
      </c>
      <c r="AF5" s="233"/>
      <c r="AG5" s="233"/>
      <c r="AH5" s="233"/>
      <c r="AI5" s="233"/>
      <c r="AJ5" s="311">
        <f>SUM(AF5+AG5+AH5+AI5)</f>
        <v>0</v>
      </c>
      <c r="AK5" s="346">
        <f>SUM(AJ5+AE5)</f>
        <v>494400000</v>
      </c>
      <c r="AL5" s="233"/>
      <c r="AM5" s="233"/>
      <c r="AN5" s="233"/>
      <c r="AO5" s="233"/>
      <c r="AP5" s="311">
        <f>SUM(AL5+AM5+AN5+AO5)</f>
        <v>0</v>
      </c>
      <c r="AQ5" s="346">
        <f>SUM(AP5+AK5)</f>
        <v>494400000</v>
      </c>
    </row>
    <row r="6" spans="1:43" ht="37.950000000000003" customHeight="1" thickBot="1">
      <c r="A6" s="130"/>
      <c r="B6" s="358" t="s">
        <v>84</v>
      </c>
      <c r="C6" s="76">
        <f>SUM(C5:C5)</f>
        <v>494400000</v>
      </c>
      <c r="D6" s="301">
        <f>SUM(D5:D5)</f>
        <v>148320000</v>
      </c>
      <c r="E6" s="301">
        <f>SUM(E5:E5)</f>
        <v>197760000</v>
      </c>
      <c r="F6" s="303">
        <f>SUM(D6:E6)</f>
        <v>346080000</v>
      </c>
      <c r="G6" s="344">
        <f>SUM(F6)</f>
        <v>346080000</v>
      </c>
      <c r="H6" s="304">
        <f>SUM(H5:H5)</f>
        <v>74160000</v>
      </c>
      <c r="I6" s="304">
        <f>SUM(I5:I5)</f>
        <v>0</v>
      </c>
      <c r="J6" s="304">
        <f>SUM(J5:J5)</f>
        <v>0</v>
      </c>
      <c r="K6" s="304">
        <f>SUM(K5:K5)</f>
        <v>24720000</v>
      </c>
      <c r="L6" s="305">
        <f>SUM(H6:K6)</f>
        <v>98880000</v>
      </c>
      <c r="M6" s="344">
        <f>SUM(L6+G6)</f>
        <v>444960000</v>
      </c>
      <c r="N6" s="304">
        <f>SUM(N5:N5)</f>
        <v>0</v>
      </c>
      <c r="O6" s="304">
        <f>SUM(O5:O5)</f>
        <v>0</v>
      </c>
      <c r="P6" s="306">
        <f>SUM(P5:P5)</f>
        <v>0</v>
      </c>
      <c r="Q6" s="300">
        <f>SUM(Q5:Q5)</f>
        <v>49440000</v>
      </c>
      <c r="R6" s="307">
        <f>SUM(N6+O6+P6)</f>
        <v>0</v>
      </c>
      <c r="S6" s="345">
        <f>SUM(R6+M6)</f>
        <v>444960000</v>
      </c>
      <c r="T6" s="300">
        <f>SUM(T5:T5)</f>
        <v>0</v>
      </c>
      <c r="U6" s="304">
        <f>SUM(U5:U5)</f>
        <v>0</v>
      </c>
      <c r="V6" s="304">
        <f>SUM(V5:V5)</f>
        <v>0</v>
      </c>
      <c r="W6" s="300">
        <f>SUM(W5:W5)</f>
        <v>0</v>
      </c>
      <c r="X6" s="307">
        <f>SUM(T6:W6)</f>
        <v>0</v>
      </c>
      <c r="Y6" s="345">
        <f>SUM(X6+S6)</f>
        <v>444960000</v>
      </c>
      <c r="Z6" s="300">
        <f>SUM(Z5:Z5)</f>
        <v>0</v>
      </c>
      <c r="AA6" s="309">
        <f>SUM(AA5:AA5)</f>
        <v>0</v>
      </c>
      <c r="AB6" s="310">
        <f>SUM(AB5:AB5)</f>
        <v>0</v>
      </c>
      <c r="AC6" s="311">
        <f>SUM(AC5:AC5)</f>
        <v>0</v>
      </c>
      <c r="AD6" s="312">
        <f>SUM(Z6+AA6+AB6)</f>
        <v>0</v>
      </c>
      <c r="AE6" s="344">
        <f>SUM(AD6+Y6)</f>
        <v>444960000</v>
      </c>
      <c r="AF6" s="304">
        <f>SUM(AF5:AF5)</f>
        <v>0</v>
      </c>
      <c r="AG6" s="304">
        <f>SUM(AG5:AG5)</f>
        <v>0</v>
      </c>
      <c r="AH6" s="309">
        <f>SUM(AH5:AH5)</f>
        <v>0</v>
      </c>
      <c r="AI6" s="311">
        <f>SUM(AI5:AI5)</f>
        <v>0</v>
      </c>
      <c r="AJ6" s="307">
        <f>SUM(AF6+AG6+AH6)</f>
        <v>0</v>
      </c>
      <c r="AK6" s="345">
        <f>SUM(AJ6+AE6)</f>
        <v>444960000</v>
      </c>
      <c r="AL6" s="300">
        <f>SUM(AL5:AL5)</f>
        <v>0</v>
      </c>
      <c r="AM6" s="306">
        <f>SUM(AM5:AM5)</f>
        <v>0</v>
      </c>
      <c r="AN6" s="300">
        <f>SUM(AN5:AN5)</f>
        <v>0</v>
      </c>
      <c r="AO6" s="300">
        <f>SUM(AO5:AO5)</f>
        <v>0</v>
      </c>
      <c r="AP6" s="307">
        <f>SUM(AL6+AM6+AN6)</f>
        <v>0</v>
      </c>
      <c r="AQ6" s="344">
        <f>SUM(AP6+AK6)</f>
        <v>444960000</v>
      </c>
    </row>
    <row r="11" spans="1:43">
      <c r="D11" s="205"/>
    </row>
  </sheetData>
  <phoneticPr fontId="5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C5" zoomScaleNormal="100" workbookViewId="0">
      <selection activeCell="I14" sqref="I14"/>
    </sheetView>
  </sheetViews>
  <sheetFormatPr defaultRowHeight="13.8"/>
  <cols>
    <col min="1" max="1" width="6.33203125" style="65" customWidth="1"/>
    <col min="2" max="2" width="17.88671875" style="69" customWidth="1"/>
    <col min="3" max="3" width="7.6640625" style="214" customWidth="1"/>
    <col min="4" max="4" width="48.44140625" style="18" customWidth="1"/>
    <col min="5" max="5" width="15.5546875" style="67" customWidth="1"/>
    <col min="6" max="6" width="5.88671875" style="6" customWidth="1"/>
    <col min="7" max="7" width="5.88671875" style="277" customWidth="1"/>
    <col min="8" max="8" width="20.33203125" style="275" customWidth="1"/>
    <col min="9" max="9" width="8.6640625" style="275" customWidth="1"/>
    <col min="10" max="10" width="14.44140625" style="273" customWidth="1"/>
    <col min="11" max="11" width="13.109375" customWidth="1"/>
  </cols>
  <sheetData>
    <row r="1" spans="1:10" ht="15.75" customHeight="1">
      <c r="A1" s="448" t="s">
        <v>119</v>
      </c>
      <c r="B1" s="448"/>
      <c r="C1" s="448"/>
      <c r="D1" s="448"/>
      <c r="E1" s="448"/>
      <c r="F1" s="272"/>
      <c r="G1" s="276"/>
      <c r="H1" s="273"/>
      <c r="I1" s="273"/>
    </row>
    <row r="2" spans="1:10" ht="21" customHeight="1">
      <c r="A2" s="448"/>
      <c r="B2" s="448"/>
      <c r="C2" s="448"/>
      <c r="D2" s="448"/>
      <c r="E2" s="448"/>
      <c r="F2" s="272"/>
      <c r="G2" s="276"/>
      <c r="H2" s="273"/>
      <c r="I2" s="273"/>
    </row>
    <row r="3" spans="1:10" ht="16.2" customHeight="1">
      <c r="D3" s="70" t="s">
        <v>175</v>
      </c>
      <c r="H3" s="273"/>
      <c r="I3" s="273"/>
    </row>
    <row r="4" spans="1:10" ht="61.2" customHeight="1" thickBot="1">
      <c r="A4" s="221" t="s">
        <v>121</v>
      </c>
      <c r="B4" s="221" t="s">
        <v>188</v>
      </c>
      <c r="C4" s="221"/>
      <c r="D4" s="221" t="s">
        <v>189</v>
      </c>
      <c r="E4" s="221" t="s">
        <v>190</v>
      </c>
      <c r="H4" s="459" t="s">
        <v>187</v>
      </c>
      <c r="I4" s="460"/>
      <c r="J4" s="460"/>
    </row>
    <row r="5" spans="1:10" ht="27" customHeight="1">
      <c r="A5" s="457">
        <v>1</v>
      </c>
      <c r="B5" s="452" t="s">
        <v>70</v>
      </c>
      <c r="C5" s="215" t="s">
        <v>102</v>
      </c>
      <c r="D5" s="66" t="s">
        <v>170</v>
      </c>
      <c r="E5" s="454">
        <v>40000000</v>
      </c>
      <c r="G5" s="289"/>
      <c r="H5" s="290"/>
      <c r="I5" s="291" t="s">
        <v>179</v>
      </c>
      <c r="J5" s="292"/>
    </row>
    <row r="6" spans="1:10" ht="25.95" customHeight="1">
      <c r="A6" s="449"/>
      <c r="B6" s="450"/>
      <c r="C6" s="220" t="s">
        <v>103</v>
      </c>
      <c r="D6" s="66" t="s">
        <v>114</v>
      </c>
      <c r="E6" s="455"/>
      <c r="G6" s="465">
        <v>1</v>
      </c>
      <c r="H6" s="463" t="s">
        <v>176</v>
      </c>
      <c r="I6" s="469">
        <v>1</v>
      </c>
      <c r="J6" s="467">
        <f>SUM(E20)</f>
        <v>494400000</v>
      </c>
    </row>
    <row r="7" spans="1:10" ht="26.4" customHeight="1">
      <c r="A7" s="449"/>
      <c r="B7" s="450"/>
      <c r="C7" s="216" t="s">
        <v>104</v>
      </c>
      <c r="D7" s="66" t="s">
        <v>125</v>
      </c>
      <c r="E7" s="455"/>
      <c r="G7" s="466"/>
      <c r="H7" s="464"/>
      <c r="I7" s="470"/>
      <c r="J7" s="468"/>
    </row>
    <row r="8" spans="1:10" ht="27.6" customHeight="1">
      <c r="A8" s="449"/>
      <c r="B8" s="450"/>
      <c r="C8" s="216" t="s">
        <v>105</v>
      </c>
      <c r="D8" s="66" t="s">
        <v>115</v>
      </c>
      <c r="E8" s="455"/>
      <c r="G8" s="293">
        <v>2</v>
      </c>
      <c r="H8" s="274" t="s">
        <v>40</v>
      </c>
      <c r="I8" s="279">
        <v>1</v>
      </c>
      <c r="J8" s="294">
        <f>SUM('5. Единоразовые вложения'!D11)</f>
        <v>11600000</v>
      </c>
    </row>
    <row r="9" spans="1:10" ht="33.6" customHeight="1">
      <c r="A9" s="449"/>
      <c r="B9" s="450"/>
      <c r="C9" s="216" t="s">
        <v>106</v>
      </c>
      <c r="D9" s="66" t="s">
        <v>116</v>
      </c>
      <c r="E9" s="455"/>
      <c r="G9" s="293">
        <v>3</v>
      </c>
      <c r="H9" s="274" t="s">
        <v>178</v>
      </c>
      <c r="I9" s="279">
        <v>24</v>
      </c>
      <c r="J9" s="294">
        <f>SUM('4. Обслуживание установок'!D13)*I9</f>
        <v>97680000</v>
      </c>
    </row>
    <row r="10" spans="1:10" ht="19.2" customHeight="1">
      <c r="A10" s="449"/>
      <c r="B10" s="450"/>
      <c r="C10" s="216" t="s">
        <v>107</v>
      </c>
      <c r="D10" s="66" t="s">
        <v>117</v>
      </c>
      <c r="E10" s="455"/>
      <c r="G10" s="293">
        <v>4</v>
      </c>
      <c r="H10" s="274" t="s">
        <v>180</v>
      </c>
      <c r="I10" s="280">
        <v>24</v>
      </c>
      <c r="J10" s="295">
        <f>SUM('3. Штатное расписание'!P32)*I10</f>
        <v>44559648</v>
      </c>
    </row>
    <row r="11" spans="1:10" ht="51" customHeight="1">
      <c r="A11" s="458"/>
      <c r="B11" s="453"/>
      <c r="C11" s="217" t="s">
        <v>108</v>
      </c>
      <c r="D11" s="97" t="s">
        <v>118</v>
      </c>
      <c r="E11" s="456"/>
      <c r="G11" s="293">
        <v>5</v>
      </c>
      <c r="H11" s="274" t="s">
        <v>64</v>
      </c>
      <c r="I11" s="280">
        <v>24</v>
      </c>
      <c r="J11" s="294">
        <f>SUM('2. Хоз.расходы'!D16*'Калькуляция установок'!I11)</f>
        <v>15960000</v>
      </c>
    </row>
    <row r="12" spans="1:10" ht="58.95" customHeight="1" thickBot="1">
      <c r="A12" s="449">
        <v>2</v>
      </c>
      <c r="B12" s="450" t="s">
        <v>191</v>
      </c>
      <c r="C12" s="216" t="s">
        <v>109</v>
      </c>
      <c r="D12" s="89" t="s">
        <v>169</v>
      </c>
      <c r="E12" s="262">
        <v>100000000</v>
      </c>
      <c r="G12" s="296"/>
      <c r="H12" s="297" t="s">
        <v>181</v>
      </c>
      <c r="I12" s="298"/>
      <c r="J12" s="299">
        <f>SUM(J6:J11)</f>
        <v>664199648</v>
      </c>
    </row>
    <row r="13" spans="1:10" ht="26.4">
      <c r="A13" s="449"/>
      <c r="B13" s="450"/>
      <c r="C13" s="216" t="s">
        <v>110</v>
      </c>
      <c r="D13" s="16" t="s">
        <v>122</v>
      </c>
      <c r="E13" s="98">
        <v>10000000</v>
      </c>
      <c r="H13" s="273"/>
      <c r="I13" s="273"/>
    </row>
    <row r="14" spans="1:10">
      <c r="A14" s="449"/>
      <c r="B14" s="450"/>
      <c r="C14" s="216" t="s">
        <v>111</v>
      </c>
      <c r="D14" s="16" t="s">
        <v>123</v>
      </c>
      <c r="E14" s="98">
        <v>10000000</v>
      </c>
      <c r="H14" s="273"/>
      <c r="I14" s="273"/>
    </row>
    <row r="15" spans="1:10" ht="39.6">
      <c r="A15" s="449"/>
      <c r="B15" s="450"/>
      <c r="C15" s="216" t="s">
        <v>171</v>
      </c>
      <c r="D15" s="16" t="s">
        <v>199</v>
      </c>
      <c r="E15" s="98">
        <v>70000000</v>
      </c>
      <c r="F15"/>
      <c r="G15" s="278"/>
      <c r="H15" s="273"/>
      <c r="I15" s="273"/>
    </row>
    <row r="16" spans="1:10" ht="26.4">
      <c r="A16" s="449"/>
      <c r="B16" s="450"/>
      <c r="C16" s="216" t="s">
        <v>112</v>
      </c>
      <c r="D16" s="83" t="s">
        <v>172</v>
      </c>
      <c r="E16" s="213">
        <v>100000000</v>
      </c>
      <c r="F16"/>
      <c r="G16" s="278"/>
      <c r="H16" s="273"/>
      <c r="I16" s="273"/>
    </row>
    <row r="17" spans="1:9">
      <c r="A17" s="449"/>
      <c r="B17" s="451"/>
      <c r="C17" s="263" t="s">
        <v>113</v>
      </c>
      <c r="D17" s="16" t="s">
        <v>124</v>
      </c>
      <c r="E17" s="264">
        <v>150000000</v>
      </c>
      <c r="F17"/>
      <c r="G17" s="278"/>
      <c r="H17" s="273"/>
      <c r="I17" s="273"/>
    </row>
    <row r="18" spans="1:9" ht="14.4" thickBot="1">
      <c r="A18" s="449"/>
      <c r="B18" s="451"/>
      <c r="C18" s="265"/>
      <c r="D18" s="266" t="s">
        <v>120</v>
      </c>
      <c r="E18" s="267">
        <f>SUM(E5:E17)</f>
        <v>480000000</v>
      </c>
      <c r="F18"/>
      <c r="G18" s="278"/>
      <c r="H18" s="273"/>
      <c r="I18" s="273"/>
    </row>
    <row r="19" spans="1:9">
      <c r="A19" s="268">
        <v>3</v>
      </c>
      <c r="B19" s="269" t="s">
        <v>177</v>
      </c>
      <c r="C19" s="270"/>
      <c r="D19" s="82"/>
      <c r="E19" s="222">
        <f>SUM((E18)*0.03)</f>
        <v>14400000</v>
      </c>
      <c r="F19"/>
      <c r="G19" s="278"/>
      <c r="H19" s="273"/>
      <c r="I19" s="273"/>
    </row>
    <row r="20" spans="1:9" ht="16.95" customHeight="1" thickBot="1">
      <c r="A20" s="271">
        <v>4</v>
      </c>
      <c r="B20" s="99"/>
      <c r="C20" s="218"/>
      <c r="D20" s="80" t="s">
        <v>71</v>
      </c>
      <c r="E20" s="100">
        <f>SUM(E18:E19)</f>
        <v>494400000</v>
      </c>
      <c r="F20"/>
      <c r="G20" s="278"/>
      <c r="H20" s="273"/>
      <c r="I20" s="273"/>
    </row>
    <row r="21" spans="1:9" ht="13.2">
      <c r="A21" s="6"/>
      <c r="B21" s="5"/>
      <c r="C21" s="219"/>
      <c r="D21"/>
      <c r="E21"/>
      <c r="F21"/>
      <c r="G21" s="278"/>
      <c r="H21" s="273"/>
      <c r="I21" s="273"/>
    </row>
    <row r="22" spans="1:9">
      <c r="A22" s="281"/>
      <c r="B22" s="461" t="s">
        <v>183</v>
      </c>
      <c r="C22" s="462"/>
      <c r="D22" s="282" t="s">
        <v>184</v>
      </c>
      <c r="E22" s="283">
        <f>SUM(E20*0.056/4)</f>
        <v>6921600</v>
      </c>
      <c r="F22"/>
      <c r="G22" s="278"/>
    </row>
    <row r="23" spans="1:9" ht="13.2">
      <c r="A23" s="6"/>
      <c r="B23" s="5"/>
      <c r="C23" s="219"/>
      <c r="D23"/>
      <c r="E23"/>
      <c r="F23"/>
      <c r="G23" s="278"/>
    </row>
    <row r="24" spans="1:9" ht="13.2">
      <c r="A24" s="6"/>
      <c r="B24" s="5"/>
      <c r="C24" s="219"/>
      <c r="D24"/>
      <c r="E24"/>
      <c r="F24"/>
      <c r="G24" s="278"/>
    </row>
  </sheetData>
  <mergeCells count="12">
    <mergeCell ref="H4:J4"/>
    <mergeCell ref="B22:C22"/>
    <mergeCell ref="H6:H7"/>
    <mergeCell ref="G6:G7"/>
    <mergeCell ref="J6:J7"/>
    <mergeCell ref="I6:I7"/>
    <mergeCell ref="A1:E2"/>
    <mergeCell ref="A12:A18"/>
    <mergeCell ref="B12:B18"/>
    <mergeCell ref="B5:B11"/>
    <mergeCell ref="E5:E11"/>
    <mergeCell ref="A5:A11"/>
  </mergeCells>
  <phoneticPr fontId="52" type="noConversion"/>
  <pageMargins left="0.7" right="0.7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Итоги </vt:lpstr>
      <vt:lpstr>1. Доходы</vt:lpstr>
      <vt:lpstr>2. Хоз.расходы</vt:lpstr>
      <vt:lpstr>3. Штатное расписание</vt:lpstr>
      <vt:lpstr>4. Обслуживание установок</vt:lpstr>
      <vt:lpstr>5. Единоразовые вложения</vt:lpstr>
      <vt:lpstr>6. Вложения в оборудование</vt:lpstr>
      <vt:lpstr>Калькуляция установок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НАКС</dc:creator>
  <cp:lastModifiedBy>123</cp:lastModifiedBy>
  <cp:lastPrinted>2017-10-25T06:18:21Z</cp:lastPrinted>
  <dcterms:created xsi:type="dcterms:W3CDTF">2010-04-22T06:50:22Z</dcterms:created>
  <dcterms:modified xsi:type="dcterms:W3CDTF">2023-07-18T05:12:04Z</dcterms:modified>
</cp:coreProperties>
</file>