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makarova\Desktop\Новая папка\"/>
    </mc:Choice>
  </mc:AlternateContent>
  <bookViews>
    <workbookView xWindow="0" yWindow="0" windowWidth="23040" windowHeight="9192" firstSheet="1" activeTab="1"/>
  </bookViews>
  <sheets>
    <sheet name="Консервативный сценарий" sheetId="1" r:id="rId1"/>
    <sheet name="Реальный сценарий" sheetId="4" r:id="rId2"/>
    <sheet name="Оптимистичный сценарий" sheetId="6" r:id="rId3"/>
    <sheet name="Сроки и стоимость работ" sheetId="2" r:id="rId4"/>
    <sheet name="Конкуренты" sheetId="3" r:id="rId5"/>
  </sheets>
  <externalReferences>
    <externalReference r:id="rId6"/>
  </externalReferences>
  <definedNames>
    <definedName name="_D100000">#REF!</definedName>
    <definedName name="_RRD1">#REF!</definedName>
    <definedName name="_RRD2">#REF!</definedName>
    <definedName name="CUR_Foreign">[1]Амортизация!#REF!</definedName>
    <definedName name="CUR_Main">[1]Амортизация!#REF!</definedName>
    <definedName name="data_">#REF!</definedName>
    <definedName name="data01">#REF!</definedName>
    <definedName name="Eng">#REF!</definedName>
    <definedName name="Language">#REF!</definedName>
    <definedName name="Life">#REF!</definedName>
    <definedName name="PI">#REF!</definedName>
    <definedName name="PIP">#REF!</definedName>
    <definedName name="PRJ_Step">[1]Амортизация!#REF!</definedName>
    <definedName name="Unit">#REF!</definedName>
    <definedName name="АО">#REF!</definedName>
    <definedName name="ВР">#REF!</definedName>
    <definedName name="ГДС">#REF!</definedName>
    <definedName name="ЗП">#REF!</definedName>
    <definedName name="ИП">#REF!</definedName>
    <definedName name="КНР">#REF!</definedName>
    <definedName name="МЗ">#REF!</definedName>
    <definedName name="НАО">#REF!</definedName>
    <definedName name="НП">#REF!</definedName>
    <definedName name="НР">#REF!</definedName>
    <definedName name="НЧОК">#REF!</definedName>
    <definedName name="ОЗ">#REF!</definedName>
    <definedName name="ОИИ">#REF!</definedName>
    <definedName name="ПИ">#REF!</definedName>
    <definedName name="ПИИ">#REF!</definedName>
    <definedName name="пр">[1]Амортизация!#REF!</definedName>
    <definedName name="рук">#REF!</definedName>
    <definedName name="спец">#REF!</definedName>
    <definedName name="СС">#REF!</definedName>
    <definedName name="УПЗ">#REF!</definedName>
    <definedName name="УПЗП">#REF!</definedName>
    <definedName name="ЧОК">#REF!</definedName>
    <definedName name="ЧП">#REF!</definedName>
  </definedNames>
  <calcPr calcId="162913" refMode="R1C1"/>
</workbook>
</file>

<file path=xl/calcChain.xml><?xml version="1.0" encoding="utf-8"?>
<calcChain xmlns="http://schemas.openxmlformats.org/spreadsheetml/2006/main">
  <c r="J33" i="1" l="1"/>
  <c r="K33" i="1"/>
  <c r="M33" i="1"/>
  <c r="N33" i="1"/>
  <c r="O33" i="1"/>
  <c r="P33" i="1"/>
  <c r="I33" i="1"/>
  <c r="J33" i="4"/>
  <c r="K33" i="4"/>
  <c r="L33" i="4"/>
  <c r="M33" i="4"/>
  <c r="N33" i="4"/>
  <c r="O33" i="4"/>
  <c r="P33" i="4"/>
  <c r="I33" i="4"/>
  <c r="L34" i="6"/>
  <c r="M34" i="6"/>
  <c r="N34" i="6"/>
  <c r="O34" i="6"/>
  <c r="O33" i="6" s="1"/>
  <c r="H34" i="6"/>
  <c r="H33" i="6" s="1"/>
  <c r="H27" i="6" s="1"/>
  <c r="I34" i="6"/>
  <c r="I33" i="6" s="1"/>
  <c r="J34" i="6"/>
  <c r="J33" i="6" s="1"/>
  <c r="J27" i="6" s="1"/>
  <c r="K65" i="6"/>
  <c r="K64" i="6"/>
  <c r="C57" i="6"/>
  <c r="F56" i="6"/>
  <c r="N54" i="6"/>
  <c r="O54" i="6" s="1"/>
  <c r="M54" i="6"/>
  <c r="K54" i="6"/>
  <c r="N53" i="6"/>
  <c r="L53" i="6"/>
  <c r="J53" i="6"/>
  <c r="I53" i="6"/>
  <c r="K53" i="6" s="1"/>
  <c r="F52" i="6"/>
  <c r="K51" i="6"/>
  <c r="X50" i="6"/>
  <c r="K48" i="6"/>
  <c r="M47" i="6"/>
  <c r="N47" i="6" s="1"/>
  <c r="O47" i="6" s="1"/>
  <c r="K47" i="6"/>
  <c r="K46" i="6"/>
  <c r="L46" i="6" s="1"/>
  <c r="F46" i="6"/>
  <c r="K45" i="6"/>
  <c r="J45" i="6"/>
  <c r="I45" i="6"/>
  <c r="H45" i="6"/>
  <c r="G45" i="6"/>
  <c r="G40" i="6" s="1"/>
  <c r="F45" i="6"/>
  <c r="E45" i="6"/>
  <c r="D45" i="6"/>
  <c r="C45" i="6"/>
  <c r="C40" i="6" s="1"/>
  <c r="C13" i="6" s="1"/>
  <c r="J44" i="6"/>
  <c r="I44" i="6"/>
  <c r="H44" i="6"/>
  <c r="H42" i="6" s="1"/>
  <c r="H40" i="6" s="1"/>
  <c r="G44" i="6"/>
  <c r="E44" i="6"/>
  <c r="D44" i="6"/>
  <c r="D42" i="6" s="1"/>
  <c r="D40" i="6" s="1"/>
  <c r="L43" i="6"/>
  <c r="K43" i="6"/>
  <c r="K44" i="6" s="1"/>
  <c r="K42" i="6" s="1"/>
  <c r="K40" i="6" s="1"/>
  <c r="F43" i="6"/>
  <c r="F44" i="6" s="1"/>
  <c r="F42" i="6" s="1"/>
  <c r="F40" i="6" s="1"/>
  <c r="J42" i="6"/>
  <c r="J40" i="6" s="1"/>
  <c r="I42" i="6"/>
  <c r="G42" i="6"/>
  <c r="E42" i="6"/>
  <c r="K41" i="6"/>
  <c r="S40" i="6"/>
  <c r="K61" i="6" s="1"/>
  <c r="I40" i="6"/>
  <c r="E40" i="6"/>
  <c r="J39" i="6"/>
  <c r="I39" i="6"/>
  <c r="H39" i="6"/>
  <c r="G39" i="6"/>
  <c r="K38" i="6"/>
  <c r="K39" i="6" s="1"/>
  <c r="X37" i="6"/>
  <c r="J37" i="6"/>
  <c r="I37" i="6"/>
  <c r="H37" i="6"/>
  <c r="G36" i="6"/>
  <c r="E36" i="6"/>
  <c r="F36" i="6" s="1"/>
  <c r="F27" i="6" s="1"/>
  <c r="D36" i="6"/>
  <c r="K35" i="6"/>
  <c r="N33" i="6"/>
  <c r="M33" i="6"/>
  <c r="L33" i="6"/>
  <c r="X33" i="6"/>
  <c r="X32" i="6"/>
  <c r="K32" i="6"/>
  <c r="X31" i="6"/>
  <c r="K31" i="6"/>
  <c r="K30" i="6"/>
  <c r="L30" i="6" s="1"/>
  <c r="X29" i="6"/>
  <c r="K29" i="6"/>
  <c r="X27" i="6"/>
  <c r="G27" i="6"/>
  <c r="D27" i="6"/>
  <c r="K25" i="6"/>
  <c r="K24" i="6"/>
  <c r="K23" i="6"/>
  <c r="K22" i="6"/>
  <c r="F22" i="6"/>
  <c r="K21" i="6"/>
  <c r="F21" i="6"/>
  <c r="K20" i="6"/>
  <c r="F20" i="6"/>
  <c r="K19" i="6"/>
  <c r="F19" i="6"/>
  <c r="K18" i="6"/>
  <c r="F18" i="6"/>
  <c r="K17" i="6"/>
  <c r="F17" i="6"/>
  <c r="K16" i="6"/>
  <c r="K14" i="6" s="1"/>
  <c r="F16" i="6"/>
  <c r="K15" i="6"/>
  <c r="F15" i="6"/>
  <c r="F14" i="6" s="1"/>
  <c r="O14" i="6"/>
  <c r="N14" i="6"/>
  <c r="M14" i="6"/>
  <c r="L14" i="6"/>
  <c r="J14" i="6"/>
  <c r="I14" i="6"/>
  <c r="H14" i="6"/>
  <c r="G14" i="6"/>
  <c r="G13" i="6" s="1"/>
  <c r="E14" i="6"/>
  <c r="D14" i="6"/>
  <c r="C14" i="6"/>
  <c r="X13" i="6"/>
  <c r="T13" i="6"/>
  <c r="M53" i="6" s="1"/>
  <c r="F12" i="6"/>
  <c r="X11" i="6"/>
  <c r="X10" i="6"/>
  <c r="K10" i="6"/>
  <c r="K7" i="6" s="1"/>
  <c r="X9" i="6"/>
  <c r="X8" i="6"/>
  <c r="K8" i="6"/>
  <c r="F8" i="6"/>
  <c r="F7" i="6" s="1"/>
  <c r="F6" i="6" s="1"/>
  <c r="X7" i="6"/>
  <c r="X38" i="6" s="1"/>
  <c r="O7" i="6"/>
  <c r="N7" i="6"/>
  <c r="N6" i="6" s="1"/>
  <c r="M7" i="6"/>
  <c r="M56" i="6" s="1"/>
  <c r="L7" i="6"/>
  <c r="L6" i="6" s="1"/>
  <c r="J7" i="6"/>
  <c r="J56" i="6" s="1"/>
  <c r="I7" i="6"/>
  <c r="I56" i="6" s="1"/>
  <c r="H7" i="6"/>
  <c r="H6" i="6" s="1"/>
  <c r="G7" i="6"/>
  <c r="G49" i="6" s="1"/>
  <c r="E7" i="6"/>
  <c r="D7" i="6"/>
  <c r="E56" i="6" s="1"/>
  <c r="C7" i="6"/>
  <c r="D56" i="6" s="1"/>
  <c r="O6" i="6"/>
  <c r="I6" i="6"/>
  <c r="G6" i="6"/>
  <c r="E6" i="6"/>
  <c r="C6" i="6"/>
  <c r="K55" i="4"/>
  <c r="J55" i="4"/>
  <c r="I55" i="4"/>
  <c r="H55" i="4"/>
  <c r="H55" i="1"/>
  <c r="N56" i="6" l="1"/>
  <c r="M6" i="6"/>
  <c r="L32" i="6"/>
  <c r="K34" i="6"/>
  <c r="J6" i="6"/>
  <c r="I27" i="6"/>
  <c r="I13" i="6" s="1"/>
  <c r="I49" i="6" s="1"/>
  <c r="I57" i="6" s="1"/>
  <c r="M32" i="6"/>
  <c r="N32" i="6" s="1"/>
  <c r="O32" i="6" s="1"/>
  <c r="H13" i="6"/>
  <c r="H49" i="6" s="1"/>
  <c r="H57" i="6" s="1"/>
  <c r="M46" i="6"/>
  <c r="L45" i="6"/>
  <c r="D13" i="6"/>
  <c r="M38" i="6"/>
  <c r="L38" i="6"/>
  <c r="K6" i="6"/>
  <c r="K56" i="6"/>
  <c r="E49" i="6"/>
  <c r="E57" i="6" s="1"/>
  <c r="F13" i="6"/>
  <c r="F49" i="6" s="1"/>
  <c r="F57" i="6" s="1"/>
  <c r="J13" i="6"/>
  <c r="J49" i="6" s="1"/>
  <c r="J57" i="6" s="1"/>
  <c r="L42" i="6"/>
  <c r="L40" i="6" s="1"/>
  <c r="L44" i="6"/>
  <c r="E27" i="6"/>
  <c r="E13" i="6" s="1"/>
  <c r="K33" i="6"/>
  <c r="K27" i="6" s="1"/>
  <c r="K13" i="6" s="1"/>
  <c r="K49" i="6" s="1"/>
  <c r="M43" i="6"/>
  <c r="O53" i="6"/>
  <c r="G56" i="6"/>
  <c r="G57" i="6" s="1"/>
  <c r="O56" i="6"/>
  <c r="L29" i="6"/>
  <c r="K37" i="6"/>
  <c r="H56" i="6"/>
  <c r="L56" i="6"/>
  <c r="D6" i="6"/>
  <c r="D49" i="6" s="1"/>
  <c r="D57" i="6" s="1"/>
  <c r="L47" i="4"/>
  <c r="L47" i="1"/>
  <c r="L63" i="1"/>
  <c r="L63" i="4"/>
  <c r="L25" i="1"/>
  <c r="L24" i="1"/>
  <c r="I13" i="1"/>
  <c r="I13" i="4"/>
  <c r="L64" i="4"/>
  <c r="D56" i="4"/>
  <c r="G55" i="4"/>
  <c r="O53" i="4"/>
  <c r="P53" i="4" s="1"/>
  <c r="N53" i="4"/>
  <c r="L53" i="4"/>
  <c r="O52" i="4"/>
  <c r="M52" i="4"/>
  <c r="K52" i="4"/>
  <c r="L52" i="4" s="1"/>
  <c r="J52" i="4"/>
  <c r="G51" i="4"/>
  <c r="L50" i="4"/>
  <c r="Y49" i="4"/>
  <c r="N46" i="4"/>
  <c r="O46" i="4" s="1"/>
  <c r="P46" i="4" s="1"/>
  <c r="L46" i="4"/>
  <c r="L45" i="4"/>
  <c r="M45" i="4" s="1"/>
  <c r="G45" i="4"/>
  <c r="G44" i="4" s="1"/>
  <c r="L44" i="4"/>
  <c r="K44" i="4"/>
  <c r="J44" i="4"/>
  <c r="I44" i="4"/>
  <c r="H44" i="4"/>
  <c r="F44" i="4"/>
  <c r="E44" i="4"/>
  <c r="D44" i="4"/>
  <c r="D39" i="4" s="1"/>
  <c r="D12" i="4" s="1"/>
  <c r="K43" i="4"/>
  <c r="J43" i="4"/>
  <c r="J41" i="4" s="1"/>
  <c r="J39" i="4" s="1"/>
  <c r="I43" i="4"/>
  <c r="I41" i="4" s="1"/>
  <c r="H43" i="4"/>
  <c r="F43" i="4"/>
  <c r="F41" i="4" s="1"/>
  <c r="F39" i="4" s="1"/>
  <c r="E43" i="4"/>
  <c r="E41" i="4" s="1"/>
  <c r="E39" i="4" s="1"/>
  <c r="M42" i="4"/>
  <c r="L42" i="4"/>
  <c r="L43" i="4" s="1"/>
  <c r="L41" i="4" s="1"/>
  <c r="G42" i="4"/>
  <c r="G43" i="4" s="1"/>
  <c r="G41" i="4" s="1"/>
  <c r="G39" i="4" s="1"/>
  <c r="K41" i="4"/>
  <c r="K39" i="4" s="1"/>
  <c r="H41" i="4"/>
  <c r="H39" i="4" s="1"/>
  <c r="L40" i="4"/>
  <c r="T39" i="4"/>
  <c r="L60" i="4" s="1"/>
  <c r="K38" i="4"/>
  <c r="J38" i="4"/>
  <c r="I38" i="4"/>
  <c r="H38" i="4"/>
  <c r="L37" i="4"/>
  <c r="L38" i="4" s="1"/>
  <c r="Y36" i="4"/>
  <c r="K36" i="4"/>
  <c r="J36" i="4"/>
  <c r="I36" i="4"/>
  <c r="H35" i="4"/>
  <c r="F35" i="4"/>
  <c r="G35" i="4" s="1"/>
  <c r="G26" i="4" s="1"/>
  <c r="E35" i="4"/>
  <c r="L34" i="4"/>
  <c r="O32" i="4"/>
  <c r="M32" i="4"/>
  <c r="K32" i="4"/>
  <c r="K26" i="4" s="1"/>
  <c r="J32" i="4"/>
  <c r="Y32" i="4"/>
  <c r="P32" i="4"/>
  <c r="N32" i="4"/>
  <c r="I32" i="4"/>
  <c r="I26" i="4" s="1"/>
  <c r="Y31" i="4"/>
  <c r="L31" i="4"/>
  <c r="Y30" i="4"/>
  <c r="L30" i="4"/>
  <c r="L29" i="4"/>
  <c r="M29" i="4" s="1"/>
  <c r="Y28" i="4"/>
  <c r="L28" i="4"/>
  <c r="Y26" i="4"/>
  <c r="H26" i="4"/>
  <c r="E26" i="4"/>
  <c r="L24" i="4"/>
  <c r="L23" i="4"/>
  <c r="L22" i="4"/>
  <c r="L21" i="4"/>
  <c r="G21" i="4"/>
  <c r="L20" i="4"/>
  <c r="G20" i="4"/>
  <c r="L19" i="4"/>
  <c r="G19" i="4"/>
  <c r="L18" i="4"/>
  <c r="G18" i="4"/>
  <c r="L17" i="4"/>
  <c r="G17" i="4"/>
  <c r="L16" i="4"/>
  <c r="G16" i="4"/>
  <c r="L15" i="4"/>
  <c r="G15" i="4"/>
  <c r="L14" i="4"/>
  <c r="G14" i="4"/>
  <c r="G13" i="4" s="1"/>
  <c r="G12" i="4" s="1"/>
  <c r="P13" i="4"/>
  <c r="O13" i="4"/>
  <c r="N13" i="4"/>
  <c r="M13" i="4"/>
  <c r="K13" i="4"/>
  <c r="J13" i="4"/>
  <c r="H13" i="4"/>
  <c r="F13" i="4"/>
  <c r="E13" i="4"/>
  <c r="E12" i="4" s="1"/>
  <c r="D13" i="4"/>
  <c r="Y12" i="4"/>
  <c r="U12" i="4"/>
  <c r="N52" i="4" s="1"/>
  <c r="G11" i="4"/>
  <c r="Y10" i="4"/>
  <c r="Y9" i="4"/>
  <c r="L9" i="4"/>
  <c r="L6" i="4" s="1"/>
  <c r="Y8" i="4"/>
  <c r="Y7" i="4"/>
  <c r="L7" i="4"/>
  <c r="G7" i="4"/>
  <c r="G6" i="4" s="1"/>
  <c r="Y6" i="4"/>
  <c r="Y37" i="4" s="1"/>
  <c r="P6" i="4"/>
  <c r="P5" i="4" s="1"/>
  <c r="O6" i="4"/>
  <c r="O55" i="4" s="1"/>
  <c r="N6" i="4"/>
  <c r="N55" i="4" s="1"/>
  <c r="M6" i="4"/>
  <c r="M5" i="4" s="1"/>
  <c r="K6" i="4"/>
  <c r="J6" i="4"/>
  <c r="I6" i="4"/>
  <c r="H6" i="4"/>
  <c r="F6" i="4"/>
  <c r="E6" i="4"/>
  <c r="F55" i="4" s="1"/>
  <c r="D6" i="4"/>
  <c r="E55" i="4" s="1"/>
  <c r="K5" i="4"/>
  <c r="J5" i="4"/>
  <c r="H5" i="4"/>
  <c r="F5" i="4"/>
  <c r="D5" i="4"/>
  <c r="K57" i="6" l="1"/>
  <c r="K58" i="6" s="1"/>
  <c r="K59" i="6" s="1"/>
  <c r="L39" i="6"/>
  <c r="L37" i="6" s="1"/>
  <c r="L27" i="6" s="1"/>
  <c r="L13" i="6" s="1"/>
  <c r="L49" i="6" s="1"/>
  <c r="L57" i="6" s="1"/>
  <c r="N38" i="6"/>
  <c r="O38" i="6"/>
  <c r="M39" i="6"/>
  <c r="M37" i="6"/>
  <c r="M29" i="6"/>
  <c r="M42" i="6"/>
  <c r="M40" i="6" s="1"/>
  <c r="N43" i="6"/>
  <c r="M44" i="6"/>
  <c r="M45" i="6"/>
  <c r="N46" i="6"/>
  <c r="L13" i="4"/>
  <c r="N5" i="4"/>
  <c r="K12" i="4"/>
  <c r="K48" i="4" s="1"/>
  <c r="K56" i="4" s="1"/>
  <c r="L39" i="4"/>
  <c r="I39" i="4"/>
  <c r="I12" i="4" s="1"/>
  <c r="I48" i="4" s="1"/>
  <c r="I56" i="4" s="1"/>
  <c r="O5" i="4"/>
  <c r="J26" i="4"/>
  <c r="J12" i="4" s="1"/>
  <c r="J48" i="4" s="1"/>
  <c r="J56" i="4" s="1"/>
  <c r="M31" i="4"/>
  <c r="N31" i="4" s="1"/>
  <c r="O31" i="4" s="1"/>
  <c r="P31" i="4" s="1"/>
  <c r="G5" i="4"/>
  <c r="G48" i="4" s="1"/>
  <c r="G56" i="4" s="1"/>
  <c r="N45" i="4"/>
  <c r="M44" i="4"/>
  <c r="N37" i="4"/>
  <c r="M37" i="4"/>
  <c r="L5" i="4"/>
  <c r="L55" i="4"/>
  <c r="H12" i="4"/>
  <c r="H48" i="4" s="1"/>
  <c r="H56" i="4" s="1"/>
  <c r="F26" i="4"/>
  <c r="F12" i="4" s="1"/>
  <c r="F48" i="4" s="1"/>
  <c r="F56" i="4" s="1"/>
  <c r="L32" i="4"/>
  <c r="L26" i="4" s="1"/>
  <c r="N42" i="4"/>
  <c r="P52" i="4"/>
  <c r="P55" i="4"/>
  <c r="M43" i="4"/>
  <c r="M41" i="4" s="1"/>
  <c r="M39" i="4" s="1"/>
  <c r="M28" i="4"/>
  <c r="L36" i="4"/>
  <c r="M55" i="4"/>
  <c r="E5" i="4"/>
  <c r="E48" i="4" s="1"/>
  <c r="E56" i="4" s="1"/>
  <c r="I5" i="4"/>
  <c r="L34" i="1"/>
  <c r="L40" i="1"/>
  <c r="H13" i="1"/>
  <c r="J13" i="1"/>
  <c r="K13" i="1"/>
  <c r="D13" i="1"/>
  <c r="E13" i="1"/>
  <c r="F13" i="1"/>
  <c r="L14" i="1"/>
  <c r="L15" i="1"/>
  <c r="L16" i="1"/>
  <c r="L17" i="1"/>
  <c r="L18" i="1"/>
  <c r="L19" i="1"/>
  <c r="L20" i="1"/>
  <c r="L21" i="1"/>
  <c r="L22" i="1"/>
  <c r="L23" i="1"/>
  <c r="M32" i="1"/>
  <c r="P32" i="1"/>
  <c r="J32" i="1"/>
  <c r="K32" i="1"/>
  <c r="N32" i="1"/>
  <c r="O32" i="1"/>
  <c r="I32" i="1"/>
  <c r="M13" i="1"/>
  <c r="N13" i="1"/>
  <c r="O13" i="1"/>
  <c r="P13" i="1"/>
  <c r="K52" i="1"/>
  <c r="J52" i="1"/>
  <c r="L53" i="1"/>
  <c r="M52" i="1" s="1"/>
  <c r="L50" i="1"/>
  <c r="L46" i="1"/>
  <c r="L45" i="1"/>
  <c r="L42" i="1"/>
  <c r="I43" i="1"/>
  <c r="I41" i="1" s="1"/>
  <c r="J43" i="1"/>
  <c r="J41" i="1" s="1"/>
  <c r="K43" i="1"/>
  <c r="K41" i="1" s="1"/>
  <c r="L37" i="1"/>
  <c r="L31" i="1"/>
  <c r="L30" i="1"/>
  <c r="L29" i="1"/>
  <c r="L28" i="1"/>
  <c r="H44" i="1"/>
  <c r="H43" i="1"/>
  <c r="H41" i="1" s="1"/>
  <c r="G51" i="1"/>
  <c r="G15" i="1"/>
  <c r="G16" i="1"/>
  <c r="G17" i="1"/>
  <c r="G18" i="1"/>
  <c r="G19" i="1"/>
  <c r="G20" i="1"/>
  <c r="G21" i="1"/>
  <c r="G14" i="1"/>
  <c r="D6" i="1"/>
  <c r="E55" i="1" s="1"/>
  <c r="D56" i="1"/>
  <c r="H35" i="1"/>
  <c r="H26" i="1" s="1"/>
  <c r="D44" i="1"/>
  <c r="D39" i="1" s="1"/>
  <c r="D12" i="1" s="1"/>
  <c r="E44" i="1"/>
  <c r="F44" i="1"/>
  <c r="I44" i="1"/>
  <c r="J44" i="1"/>
  <c r="K44" i="1"/>
  <c r="E43" i="1"/>
  <c r="E41" i="1" s="1"/>
  <c r="F43" i="1"/>
  <c r="F41" i="1" s="1"/>
  <c r="G42" i="1"/>
  <c r="G43" i="1" s="1"/>
  <c r="G41" i="1" s="1"/>
  <c r="H38" i="1"/>
  <c r="I38" i="1"/>
  <c r="I36" i="1" s="1"/>
  <c r="J38" i="1"/>
  <c r="J36" i="1" s="1"/>
  <c r="K38" i="1"/>
  <c r="K36" i="1" s="1"/>
  <c r="G45" i="1"/>
  <c r="G44" i="1" s="1"/>
  <c r="F35" i="1"/>
  <c r="F26" i="1" s="1"/>
  <c r="E35" i="1"/>
  <c r="E26" i="1" s="1"/>
  <c r="G11" i="1"/>
  <c r="I6" i="1"/>
  <c r="I55" i="1" s="1"/>
  <c r="J6" i="1"/>
  <c r="J55" i="1" s="1"/>
  <c r="K6" i="1"/>
  <c r="H6" i="1"/>
  <c r="F6" i="1"/>
  <c r="E6" i="1"/>
  <c r="G7" i="1"/>
  <c r="G6" i="1" s="1"/>
  <c r="L9" i="1"/>
  <c r="L7" i="1"/>
  <c r="L33" i="1" l="1"/>
  <c r="L32" i="1" s="1"/>
  <c r="K5" i="1"/>
  <c r="K55" i="1"/>
  <c r="L58" i="6"/>
  <c r="L59" i="6" s="1"/>
  <c r="O43" i="6"/>
  <c r="N42" i="6"/>
  <c r="N40" i="6" s="1"/>
  <c r="N44" i="6"/>
  <c r="N39" i="6"/>
  <c r="N37" i="6"/>
  <c r="O39" i="6"/>
  <c r="O37" i="6" s="1"/>
  <c r="N45" i="6"/>
  <c r="O46" i="6"/>
  <c r="O45" i="6" s="1"/>
  <c r="N29" i="6"/>
  <c r="M27" i="6"/>
  <c r="M13" i="6" s="1"/>
  <c r="M49" i="6" s="1"/>
  <c r="M57" i="6" s="1"/>
  <c r="L13" i="1"/>
  <c r="L12" i="4"/>
  <c r="L48" i="4" s="1"/>
  <c r="L56" i="4" s="1"/>
  <c r="L57" i="4" s="1"/>
  <c r="L58" i="4" s="1"/>
  <c r="D5" i="1"/>
  <c r="N28" i="4"/>
  <c r="M26" i="4"/>
  <c r="M12" i="4" s="1"/>
  <c r="M48" i="4" s="1"/>
  <c r="M56" i="4" s="1"/>
  <c r="N44" i="4"/>
  <c r="O45" i="4"/>
  <c r="N41" i="4"/>
  <c r="N39" i="4" s="1"/>
  <c r="O42" i="4"/>
  <c r="N43" i="4"/>
  <c r="M38" i="4"/>
  <c r="O37" i="4"/>
  <c r="M36" i="4"/>
  <c r="N36" i="4"/>
  <c r="N38" i="4"/>
  <c r="P37" i="4"/>
  <c r="I26" i="1"/>
  <c r="G13" i="1"/>
  <c r="L52" i="1"/>
  <c r="F5" i="1"/>
  <c r="G55" i="1"/>
  <c r="I5" i="1"/>
  <c r="H5" i="1"/>
  <c r="M31" i="1"/>
  <c r="N31" i="1" s="1"/>
  <c r="O31" i="1" s="1"/>
  <c r="P31" i="1" s="1"/>
  <c r="M28" i="1"/>
  <c r="N28" i="1" s="1"/>
  <c r="O28" i="1" s="1"/>
  <c r="P28" i="1" s="1"/>
  <c r="K26" i="1"/>
  <c r="E5" i="1"/>
  <c r="F55" i="1"/>
  <c r="J5" i="1"/>
  <c r="J26" i="1"/>
  <c r="G35" i="1"/>
  <c r="G26" i="1" s="1"/>
  <c r="I39" i="1"/>
  <c r="J39" i="1"/>
  <c r="K39" i="1"/>
  <c r="F39" i="1"/>
  <c r="F12" i="1" s="1"/>
  <c r="E39" i="1"/>
  <c r="E12" i="1" s="1"/>
  <c r="G39" i="1"/>
  <c r="H39" i="1"/>
  <c r="H12" i="1" s="1"/>
  <c r="G5" i="1"/>
  <c r="Y36" i="1"/>
  <c r="Y32" i="1"/>
  <c r="Y31" i="1"/>
  <c r="Y30" i="1"/>
  <c r="Y28" i="1"/>
  <c r="Y26" i="1"/>
  <c r="Y12" i="1"/>
  <c r="Y10" i="1"/>
  <c r="Y9" i="1"/>
  <c r="Y8" i="1"/>
  <c r="Y7" i="1"/>
  <c r="Y6" i="1"/>
  <c r="N27" i="6" l="1"/>
  <c r="N13" i="6" s="1"/>
  <c r="N49" i="6" s="1"/>
  <c r="N57" i="6" s="1"/>
  <c r="O29" i="6"/>
  <c r="O27" i="6" s="1"/>
  <c r="O44" i="6"/>
  <c r="O42" i="6" s="1"/>
  <c r="O40" i="6" s="1"/>
  <c r="M58" i="6"/>
  <c r="M59" i="6" s="1"/>
  <c r="I12" i="1"/>
  <c r="I48" i="1" s="1"/>
  <c r="I56" i="1" s="1"/>
  <c r="P42" i="4"/>
  <c r="O43" i="4"/>
  <c r="O41" i="4" s="1"/>
  <c r="O39" i="4" s="1"/>
  <c r="O38" i="4"/>
  <c r="O36" i="4" s="1"/>
  <c r="O28" i="4"/>
  <c r="N26" i="4"/>
  <c r="N12" i="4" s="1"/>
  <c r="N48" i="4" s="1"/>
  <c r="N56" i="4" s="1"/>
  <c r="O44" i="4"/>
  <c r="P45" i="4"/>
  <c r="P44" i="4" s="1"/>
  <c r="M57" i="4"/>
  <c r="M58" i="4" s="1"/>
  <c r="P38" i="4"/>
  <c r="P36" i="4" s="1"/>
  <c r="G12" i="1"/>
  <c r="G48" i="1" s="1"/>
  <c r="G56" i="1" s="1"/>
  <c r="K12" i="1"/>
  <c r="K48" i="1" s="1"/>
  <c r="K56" i="1" s="1"/>
  <c r="J12" i="1"/>
  <c r="J48" i="1" s="1"/>
  <c r="J56" i="1" s="1"/>
  <c r="F48" i="1"/>
  <c r="F56" i="1" s="1"/>
  <c r="H48" i="1"/>
  <c r="H56" i="1" s="1"/>
  <c r="E48" i="1"/>
  <c r="E56" i="1" s="1"/>
  <c r="Y37" i="1"/>
  <c r="U12" i="1"/>
  <c r="O13" i="6" l="1"/>
  <c r="O49" i="6" s="1"/>
  <c r="O57" i="6" s="1"/>
  <c r="N58" i="6"/>
  <c r="N59" i="6" s="1"/>
  <c r="N57" i="4"/>
  <c r="N58" i="4" s="1"/>
  <c r="O26" i="4"/>
  <c r="O12" i="4" s="1"/>
  <c r="O48" i="4" s="1"/>
  <c r="O56" i="4" s="1"/>
  <c r="P28" i="4"/>
  <c r="P26" i="4" s="1"/>
  <c r="P43" i="4"/>
  <c r="P41" i="4"/>
  <c r="P39" i="4" s="1"/>
  <c r="M37" i="1"/>
  <c r="N37" i="1"/>
  <c r="L64" i="1"/>
  <c r="T39" i="1"/>
  <c r="L60" i="1" s="1"/>
  <c r="M6" i="1"/>
  <c r="N6" i="1"/>
  <c r="O6" i="1"/>
  <c r="P6" i="1"/>
  <c r="L6" i="1"/>
  <c r="L55" i="1" s="1"/>
  <c r="N46" i="1"/>
  <c r="O46" i="1" s="1"/>
  <c r="P46" i="1" s="1"/>
  <c r="M45" i="1"/>
  <c r="N45" i="1" s="1"/>
  <c r="O45" i="1" s="1"/>
  <c r="P45" i="1" s="1"/>
  <c r="O58" i="6" l="1"/>
  <c r="O59" i="6" s="1"/>
  <c r="P12" i="4"/>
  <c r="P48" i="4" s="1"/>
  <c r="P56" i="4" s="1"/>
  <c r="P57" i="4" s="1"/>
  <c r="P58" i="4" s="1"/>
  <c r="O57" i="4"/>
  <c r="O58" i="4" s="1"/>
  <c r="M55" i="1"/>
  <c r="M5" i="1"/>
  <c r="P55" i="1"/>
  <c r="P5" i="1"/>
  <c r="O55" i="1"/>
  <c r="O5" i="1"/>
  <c r="N55" i="1"/>
  <c r="N5" i="1"/>
  <c r="L5" i="1"/>
  <c r="O44" i="1"/>
  <c r="P44" i="1"/>
  <c r="L38" i="1" l="1"/>
  <c r="M38" i="1"/>
  <c r="M36" i="1" s="1"/>
  <c r="O37" i="1"/>
  <c r="N44" i="1"/>
  <c r="Y49" i="1"/>
  <c r="O38" i="1" l="1"/>
  <c r="O36" i="1" s="1"/>
  <c r="O26" i="1" s="1"/>
  <c r="M42" i="1"/>
  <c r="L43" i="1"/>
  <c r="L41" i="1" s="1"/>
  <c r="P37" i="1"/>
  <c r="N38" i="1"/>
  <c r="N36" i="1" s="1"/>
  <c r="N26" i="1" s="1"/>
  <c r="M44" i="1"/>
  <c r="L44" i="1"/>
  <c r="L36" i="1"/>
  <c r="L26" i="1" s="1"/>
  <c r="N52" i="1" l="1"/>
  <c r="L39" i="1"/>
  <c r="L12" i="1" s="1"/>
  <c r="N42" i="1"/>
  <c r="M43" i="1"/>
  <c r="M41" i="1" s="1"/>
  <c r="M39" i="1" s="1"/>
  <c r="P38" i="1"/>
  <c r="P36" i="1" s="1"/>
  <c r="P26" i="1" s="1"/>
  <c r="N53" i="1" l="1"/>
  <c r="O52" i="1" s="1"/>
  <c r="O42" i="1"/>
  <c r="N43" i="1"/>
  <c r="N41" i="1" s="1"/>
  <c r="N39" i="1" s="1"/>
  <c r="N12" i="1" l="1"/>
  <c r="N48" i="1" s="1"/>
  <c r="N56" i="1" s="1"/>
  <c r="N57" i="1" s="1"/>
  <c r="O53" i="1"/>
  <c r="P53" i="1" s="1"/>
  <c r="P52" i="1" s="1"/>
  <c r="P42" i="1"/>
  <c r="O43" i="1"/>
  <c r="O41" i="1" s="1"/>
  <c r="O39" i="1" s="1"/>
  <c r="O12" i="1" l="1"/>
  <c r="O48" i="1" s="1"/>
  <c r="O56" i="1" s="1"/>
  <c r="O57" i="1" s="1"/>
  <c r="O58" i="1" s="1"/>
  <c r="N58" i="1"/>
  <c r="P43" i="1"/>
  <c r="P41" i="1" s="1"/>
  <c r="P39" i="1" s="1"/>
  <c r="P12" i="1" l="1"/>
  <c r="P48" i="1" s="1"/>
  <c r="P56" i="1" s="1"/>
  <c r="P57" i="1" s="1"/>
  <c r="P58" i="1" l="1"/>
  <c r="M29" i="1"/>
  <c r="M26" i="1" s="1"/>
  <c r="M12" i="1" s="1"/>
  <c r="M48" i="1" l="1"/>
  <c r="M56" i="1" s="1"/>
  <c r="M57" i="1" s="1"/>
  <c r="M58" i="1" s="1"/>
  <c r="L48" i="1"/>
  <c r="L56" i="1" s="1"/>
  <c r="L57" i="1" l="1"/>
  <c r="L58" i="1" s="1"/>
</calcChain>
</file>

<file path=xl/comments1.xml><?xml version="1.0" encoding="utf-8"?>
<comments xmlns="http://schemas.openxmlformats.org/spreadsheetml/2006/main">
  <authors>
    <author>Екатерина Макарова</author>
  </authors>
  <commentList>
    <comment ref="B32" authorId="0" shapeId="0">
      <text>
        <r>
          <rPr>
            <b/>
            <sz val="9"/>
            <color indexed="81"/>
            <rFont val="Tahoma"/>
            <family val="2"/>
            <charset val="204"/>
          </rPr>
          <t>Екатерина Макарова: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<sst xmlns="http://schemas.openxmlformats.org/spreadsheetml/2006/main" count="410" uniqueCount="152">
  <si>
    <t>Расходы</t>
  </si>
  <si>
    <t>БВР</t>
  </si>
  <si>
    <t>ГСМ</t>
  </si>
  <si>
    <t>ТО</t>
  </si>
  <si>
    <t>ФОТ</t>
  </si>
  <si>
    <t>з/пл</t>
  </si>
  <si>
    <t>налоги ФОТ</t>
  </si>
  <si>
    <t>Общепроизводств расходы</t>
  </si>
  <si>
    <t xml:space="preserve">ФОТ </t>
  </si>
  <si>
    <t>Офис</t>
  </si>
  <si>
    <t>Участок</t>
  </si>
  <si>
    <t>Коммерческие расходы</t>
  </si>
  <si>
    <t>Валовая прибыль</t>
  </si>
  <si>
    <t>Инвестиции, лизинг</t>
  </si>
  <si>
    <t>% по лизингу</t>
  </si>
  <si>
    <t>ИТОГО</t>
  </si>
  <si>
    <t>Инвестиции, общий расчет</t>
  </si>
  <si>
    <t>техника, оборудование</t>
  </si>
  <si>
    <t>строительство</t>
  </si>
  <si>
    <t xml:space="preserve"> </t>
  </si>
  <si>
    <t>офис, лаборатория</t>
  </si>
  <si>
    <t>Ремонты</t>
  </si>
  <si>
    <t>Перевозки г/м</t>
  </si>
  <si>
    <t>Статья расходов-доходов</t>
  </si>
  <si>
    <t>ед.изм.</t>
  </si>
  <si>
    <t>№</t>
  </si>
  <si>
    <t>ФОТ произв персонал</t>
  </si>
  <si>
    <t>Инвестиции</t>
  </si>
  <si>
    <t>АБК, ангар</t>
  </si>
  <si>
    <t>АЗС</t>
  </si>
  <si>
    <t>Весы</t>
  </si>
  <si>
    <t>Лаборатория</t>
  </si>
  <si>
    <t>Налог на прибыль 20%</t>
  </si>
  <si>
    <t>Чистая прибыль</t>
  </si>
  <si>
    <t>Предварительный БДР ООО "СИБГЕОРЕСУРС"</t>
  </si>
  <si>
    <t>Буровые работы</t>
  </si>
  <si>
    <t>Май</t>
  </si>
  <si>
    <t>Доступ на участок</t>
  </si>
  <si>
    <t>Договор аренды земли</t>
  </si>
  <si>
    <t>Июль</t>
  </si>
  <si>
    <t>Расход</t>
  </si>
  <si>
    <t>Проект добычи</t>
  </si>
  <si>
    <t>Аванс на работы по подключению электричества</t>
  </si>
  <si>
    <t xml:space="preserve">Дорога </t>
  </si>
  <si>
    <t>Заключение лаборатории по качеству</t>
  </si>
  <si>
    <t>Сентябрь</t>
  </si>
  <si>
    <t>Вагончики,генератор</t>
  </si>
  <si>
    <t>Аванс на лизинг (5%)</t>
  </si>
  <si>
    <t>Проект геолого-разведочных работ</t>
  </si>
  <si>
    <t>Платеж за постановку на баланс</t>
  </si>
  <si>
    <t>Работы по подключению электричества</t>
  </si>
  <si>
    <t>Подготовительные работы участка горных работ</t>
  </si>
  <si>
    <t xml:space="preserve">Затраты на Проект </t>
  </si>
  <si>
    <t>Проектные работы (проект геолого-разведочных работ, проект добычи строительного камня)</t>
  </si>
  <si>
    <t xml:space="preserve">Подключение электричества </t>
  </si>
  <si>
    <t>Строительство дороги (4км)</t>
  </si>
  <si>
    <t>Подготовительная работа на участке горных работ</t>
  </si>
  <si>
    <t>Общехозяйственные расходы</t>
  </si>
  <si>
    <t>Авансовый платеж за оборудование (5%)</t>
  </si>
  <si>
    <t>лизинговый платеж (5 лет)</t>
  </si>
  <si>
    <t>Погашение займа</t>
  </si>
  <si>
    <t>% техника по лизингу=17%</t>
  </si>
  <si>
    <t>нач горного участка</t>
  </si>
  <si>
    <t>гл механик</t>
  </si>
  <si>
    <t>главный энергетик</t>
  </si>
  <si>
    <t>Проектные работы</t>
  </si>
  <si>
    <t>налог НДПИ</t>
  </si>
  <si>
    <t xml:space="preserve">Машинист экскаватора </t>
  </si>
  <si>
    <t xml:space="preserve">Весовщик </t>
  </si>
  <si>
    <t xml:space="preserve">машинист погрузч </t>
  </si>
  <si>
    <t xml:space="preserve">машинист бульд </t>
  </si>
  <si>
    <t xml:space="preserve">водитель на зоз машину </t>
  </si>
  <si>
    <t xml:space="preserve">машинист мтз </t>
  </si>
  <si>
    <t xml:space="preserve">автобус водитель </t>
  </si>
  <si>
    <t xml:space="preserve">горный мастер </t>
  </si>
  <si>
    <t xml:space="preserve">слесарь-механик </t>
  </si>
  <si>
    <t xml:space="preserve">дробильщик </t>
  </si>
  <si>
    <t xml:space="preserve">оператор </t>
  </si>
  <si>
    <t xml:space="preserve">оператор азс </t>
  </si>
  <si>
    <t xml:space="preserve">энергетик </t>
  </si>
  <si>
    <t xml:space="preserve">автослесарь </t>
  </si>
  <si>
    <t xml:space="preserve">охранник </t>
  </si>
  <si>
    <t>Управл персонал</t>
  </si>
  <si>
    <t>Генеральный директор</t>
  </si>
  <si>
    <t>Главный бухгалтер</t>
  </si>
  <si>
    <t>Бухгалтер</t>
  </si>
  <si>
    <t>Коммерческий отдел</t>
  </si>
  <si>
    <t>Юрист</t>
  </si>
  <si>
    <t>Отд кадров/секретарь</t>
  </si>
  <si>
    <t>Технический директор</t>
  </si>
  <si>
    <t>Инженер</t>
  </si>
  <si>
    <t>Снабженец</t>
  </si>
  <si>
    <t>Безопасник</t>
  </si>
  <si>
    <t>Аренда</t>
  </si>
  <si>
    <t>Оборудование с монтажем</t>
  </si>
  <si>
    <t>Экскаватор</t>
  </si>
  <si>
    <t>Погрузчик</t>
  </si>
  <si>
    <t>Навесное оборудование</t>
  </si>
  <si>
    <t>Автобус</t>
  </si>
  <si>
    <t>Строительство дороги</t>
  </si>
  <si>
    <t>Строительство ЛЭП</t>
  </si>
  <si>
    <t xml:space="preserve">Чистый объем 150 тыс/м, </t>
  </si>
  <si>
    <t xml:space="preserve">Буровзрывные работы 50 тыс м в теле - 120 р/м(3 раза/год), без регистрации, </t>
  </si>
  <si>
    <t>Призводственная С/С</t>
  </si>
  <si>
    <t>Наименование продукции</t>
  </si>
  <si>
    <t>Крапивинский район</t>
  </si>
  <si>
    <t>Мозжуха</t>
  </si>
  <si>
    <t>Бутовый Камень , руб/тн (без НДС)</t>
  </si>
  <si>
    <t>СтройДорЭкспорт (М1200)</t>
  </si>
  <si>
    <t>ООО "ГДК" (М1400)</t>
  </si>
  <si>
    <t>Щебень, руб/тн (без НДС)</t>
  </si>
  <si>
    <t>Барзасский карьер(М1400)</t>
  </si>
  <si>
    <t>Конкурентные преимущества</t>
  </si>
  <si>
    <t>Расположение сопоставимое, по качеству мы превосходим</t>
  </si>
  <si>
    <t>Расположение  позволяет более удобный доступ на левый берег Кемерово (центр), качество сопоставимое, сможем конкурировать по цене</t>
  </si>
  <si>
    <t>Расположение- на 14 км дальше, плюс необходимость ехать по технологическо дороге, качество сопоставимое</t>
  </si>
  <si>
    <t>Цены из официальных прайсов*</t>
  </si>
  <si>
    <t xml:space="preserve">К рассчету приняты цены на 30% ниже конкурентов </t>
  </si>
  <si>
    <t>1 кв</t>
  </si>
  <si>
    <t>2 кв</t>
  </si>
  <si>
    <t>3кв</t>
  </si>
  <si>
    <t>4кв</t>
  </si>
  <si>
    <t xml:space="preserve">3 кв </t>
  </si>
  <si>
    <t>4 кв</t>
  </si>
  <si>
    <t xml:space="preserve">Доходы </t>
  </si>
  <si>
    <t>Щебень (5-20, М1400), тн</t>
  </si>
  <si>
    <t>Бутовый Камень (М1400), тн</t>
  </si>
  <si>
    <t>Отпускная цена, руб/тн</t>
  </si>
  <si>
    <t>Выручка от реализации продукции</t>
  </si>
  <si>
    <t>Аренда экскаватора</t>
  </si>
  <si>
    <t>Строительство линии электропередач</t>
  </si>
  <si>
    <t>Вагончики, генератор</t>
  </si>
  <si>
    <t>Платеж за постановку на баланс запасов</t>
  </si>
  <si>
    <t>Авансовый платеж (5%)</t>
  </si>
  <si>
    <t>Займ руб/Кредит</t>
  </si>
  <si>
    <t>Потребность в ГСМ указана из рассчета работы 3Х единиц техники, средний расход 40л/час, 2000 часов работы в год, стоимость топлива 50000 р/тн</t>
  </si>
  <si>
    <t>Оборудование офиса</t>
  </si>
  <si>
    <t>Строительство весовой и заправочной станции</t>
  </si>
  <si>
    <t>АБК, Ангар</t>
  </si>
  <si>
    <t>Затараты на строительство и проектные работы</t>
  </si>
  <si>
    <t>Дробильное оборудование</t>
  </si>
  <si>
    <t>Освещение и пр.</t>
  </si>
  <si>
    <t>Эл/энергия:</t>
  </si>
  <si>
    <t>В текущем сезоне, начиная с июля, будет реализовано 50 тыс.тн бутового камня</t>
  </si>
  <si>
    <t>Мощность производства - 250 тн/ч (1000 квт/час), к рассчету принято 30 % от мощности производства</t>
  </si>
  <si>
    <t>Потребность в ГСМ указана из рассчета работы 3Х единиц техники, средний расход 40л/час,  стоимость топлива 50000 р/тн</t>
  </si>
  <si>
    <t xml:space="preserve">К рассчету приняты цены на 20% ниже конкурентов </t>
  </si>
  <si>
    <t>Мощность производства - 250 тн/ч (1000 квт/час), к рассчету принято 40 % от мощности производства</t>
  </si>
  <si>
    <t xml:space="preserve">Буровзрывные работы 50 тыс м в теле - 120 р/м(3 раза/год), без регистрации ООП, </t>
  </si>
  <si>
    <t>Мощность производства - 250 тн/ч (1000 квт/час)</t>
  </si>
  <si>
    <t>Бульдозер, МТЗ, Пикап (хозяйственный)</t>
  </si>
  <si>
    <t>Бульдозер, МТЗ, Пикап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</si>
</sst>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#,##0.0"/>
    <numFmt numFmtId="165" formatCode="_-* #,##0.00_р_._-;\-* #,##0.00_р_._-;_-* &quot;-&quot;??_р_._-;_-@_-"/>
    <numFmt numFmtId="166" formatCode="#,##0.00\ &quot;₽&quot;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Gray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3" fillId="0" borderId="0"/>
    <xf numFmtId="0" fontId="8" fillId="3" borderId="0"/>
    <xf numFmtId="0" fontId="9" fillId="0" borderId="0" applyNumberFormat="0" applyFill="0" applyBorder="0" applyAlignment="0" applyProtection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1" xfId="1" applyFont="1" applyBorder="1" applyAlignment="1">
      <alignment horizontal="center"/>
    </xf>
    <xf numFmtId="0" fontId="3" fillId="0" borderId="0" xfId="1"/>
    <xf numFmtId="0" fontId="4" fillId="0" borderId="0" xfId="1" applyFont="1"/>
    <xf numFmtId="0" fontId="2" fillId="0" borderId="0" xfId="1" applyFont="1"/>
    <xf numFmtId="164" fontId="5" fillId="0" borderId="0" xfId="1" applyNumberFormat="1" applyFont="1"/>
    <xf numFmtId="164" fontId="6" fillId="0" borderId="0" xfId="1" applyNumberFormat="1" applyFont="1"/>
    <xf numFmtId="164" fontId="3" fillId="0" borderId="0" xfId="1" applyNumberFormat="1"/>
    <xf numFmtId="0" fontId="5" fillId="0" borderId="0" xfId="1" applyFont="1" applyAlignment="1">
      <alignment horizontal="right"/>
    </xf>
    <xf numFmtId="0" fontId="3" fillId="0" borderId="0" xfId="1" applyFill="1"/>
    <xf numFmtId="0" fontId="7" fillId="0" borderId="0" xfId="1" applyFont="1" applyFill="1"/>
    <xf numFmtId="3" fontId="3" fillId="0" borderId="0" xfId="1" applyNumberFormat="1"/>
    <xf numFmtId="3" fontId="5" fillId="0" borderId="0" xfId="1" applyNumberFormat="1" applyFont="1"/>
    <xf numFmtId="0" fontId="0" fillId="0" borderId="0" xfId="1" applyFont="1"/>
    <xf numFmtId="0" fontId="4" fillId="0" borderId="0" xfId="1" applyFont="1" applyBorder="1" applyAlignment="1">
      <alignment horizontal="center"/>
    </xf>
    <xf numFmtId="164" fontId="4" fillId="0" borderId="0" xfId="1" applyNumberFormat="1" applyFont="1" applyBorder="1" applyAlignment="1">
      <alignment horizontal="right"/>
    </xf>
    <xf numFmtId="0" fontId="0" fillId="0" borderId="0" xfId="0" applyBorder="1" applyAlignment="1"/>
    <xf numFmtId="0" fontId="0" fillId="0" borderId="0" xfId="0" applyBorder="1"/>
    <xf numFmtId="0" fontId="2" fillId="0" borderId="0" xfId="0" applyFont="1" applyBorder="1" applyAlignment="1"/>
    <xf numFmtId="166" fontId="4" fillId="0" borderId="1" xfId="1" applyNumberFormat="1" applyFont="1" applyBorder="1" applyAlignment="1"/>
    <xf numFmtId="0" fontId="2" fillId="0" borderId="1" xfId="0" applyFont="1" applyBorder="1"/>
    <xf numFmtId="166" fontId="2" fillId="0" borderId="1" xfId="0" applyNumberFormat="1" applyFont="1" applyBorder="1"/>
    <xf numFmtId="0" fontId="0" fillId="0" borderId="1" xfId="0" applyBorder="1"/>
    <xf numFmtId="166" fontId="0" fillId="0" borderId="1" xfId="0" applyNumberFormat="1" applyBorder="1"/>
    <xf numFmtId="0" fontId="0" fillId="0" borderId="1" xfId="0" applyBorder="1" applyAlignment="1">
      <alignment wrapText="1"/>
    </xf>
    <xf numFmtId="43" fontId="0" fillId="0" borderId="1" xfId="19" applyFont="1" applyBorder="1"/>
    <xf numFmtId="43" fontId="0" fillId="0" borderId="0" xfId="19" applyFont="1"/>
    <xf numFmtId="164" fontId="5" fillId="0" borderId="0" xfId="1" applyNumberFormat="1" applyFont="1" applyAlignment="1">
      <alignment wrapText="1"/>
    </xf>
    <xf numFmtId="0" fontId="2" fillId="5" borderId="0" xfId="1" applyFont="1" applyFill="1"/>
    <xf numFmtId="0" fontId="16" fillId="2" borderId="1" xfId="1" applyFont="1" applyFill="1" applyBorder="1"/>
    <xf numFmtId="164" fontId="16" fillId="2" borderId="1" xfId="1" applyNumberFormat="1" applyFont="1" applyFill="1" applyBorder="1"/>
    <xf numFmtId="0" fontId="3" fillId="0" borderId="1" xfId="1" applyBorder="1"/>
    <xf numFmtId="164" fontId="5" fillId="0" borderId="1" xfId="1" applyNumberFormat="1" applyFont="1" applyBorder="1"/>
    <xf numFmtId="0" fontId="5" fillId="0" borderId="1" xfId="1" applyFont="1" applyBorder="1"/>
    <xf numFmtId="164" fontId="6" fillId="0" borderId="1" xfId="1" applyNumberFormat="1" applyFont="1" applyBorder="1"/>
    <xf numFmtId="0" fontId="5" fillId="0" borderId="1" xfId="1" applyFont="1" applyBorder="1" applyAlignment="1">
      <alignment horizontal="right"/>
    </xf>
    <xf numFmtId="0" fontId="2" fillId="0" borderId="1" xfId="1" applyFont="1" applyBorder="1"/>
    <xf numFmtId="0" fontId="0" fillId="0" borderId="1" xfId="1" applyFont="1" applyBorder="1"/>
    <xf numFmtId="0" fontId="3" fillId="5" borderId="0" xfId="1" applyFill="1"/>
    <xf numFmtId="0" fontId="3" fillId="5" borderId="1" xfId="1" applyFill="1" applyBorder="1"/>
    <xf numFmtId="164" fontId="3" fillId="5" borderId="1" xfId="1" applyNumberFormat="1" applyFill="1" applyBorder="1"/>
    <xf numFmtId="3" fontId="5" fillId="5" borderId="1" xfId="1" applyNumberFormat="1" applyFont="1" applyFill="1" applyBorder="1"/>
    <xf numFmtId="3" fontId="5" fillId="0" borderId="1" xfId="1" applyNumberFormat="1" applyFont="1" applyBorder="1"/>
    <xf numFmtId="3" fontId="3" fillId="0" borderId="1" xfId="1" applyNumberFormat="1" applyBorder="1"/>
    <xf numFmtId="164" fontId="3" fillId="0" borderId="1" xfId="1" applyNumberFormat="1" applyBorder="1"/>
    <xf numFmtId="164" fontId="2" fillId="0" borderId="0" xfId="1" applyNumberFormat="1" applyFont="1" applyBorder="1"/>
    <xf numFmtId="0" fontId="3" fillId="0" borderId="0" xfId="1" applyBorder="1"/>
    <xf numFmtId="3" fontId="5" fillId="0" borderId="0" xfId="1" applyNumberFormat="1" applyFont="1" applyBorder="1"/>
    <xf numFmtId="164" fontId="3" fillId="6" borderId="0" xfId="1" applyNumberFormat="1" applyFill="1" applyBorder="1" applyAlignment="1">
      <alignment horizontal="right"/>
    </xf>
    <xf numFmtId="0" fontId="3" fillId="6" borderId="0" xfId="1" applyFill="1" applyBorder="1"/>
    <xf numFmtId="3" fontId="6" fillId="6" borderId="0" xfId="1" applyNumberFormat="1" applyFont="1" applyFill="1" applyBorder="1"/>
    <xf numFmtId="164" fontId="3" fillId="5" borderId="2" xfId="1" applyNumberFormat="1" applyFill="1" applyBorder="1"/>
    <xf numFmtId="0" fontId="3" fillId="5" borderId="2" xfId="1" applyFill="1" applyBorder="1"/>
    <xf numFmtId="3" fontId="5" fillId="5" borderId="2" xfId="1" applyNumberFormat="1" applyFont="1" applyFill="1" applyBorder="1"/>
    <xf numFmtId="164" fontId="2" fillId="6" borderId="0" xfId="1" applyNumberFormat="1" applyFont="1" applyFill="1" applyBorder="1" applyAlignment="1">
      <alignment horizontal="right"/>
    </xf>
    <xf numFmtId="0" fontId="2" fillId="6" borderId="0" xfId="1" applyFont="1" applyFill="1" applyBorder="1"/>
    <xf numFmtId="164" fontId="6" fillId="6" borderId="1" xfId="1" applyNumberFormat="1" applyFont="1" applyFill="1" applyBorder="1" applyAlignment="1">
      <alignment horizontal="right"/>
    </xf>
    <xf numFmtId="164" fontId="6" fillId="6" borderId="1" xfId="1" applyNumberFormat="1" applyFont="1" applyFill="1" applyBorder="1"/>
    <xf numFmtId="0" fontId="15" fillId="2" borderId="1" xfId="1" applyFont="1" applyFill="1" applyBorder="1" applyAlignment="1">
      <alignment horizontal="right"/>
    </xf>
    <xf numFmtId="0" fontId="14" fillId="2" borderId="1" xfId="1" applyFont="1" applyFill="1" applyBorder="1"/>
    <xf numFmtId="164" fontId="15" fillId="2" borderId="1" xfId="1" applyNumberFormat="1" applyFont="1" applyFill="1" applyBorder="1"/>
    <xf numFmtId="0" fontId="15" fillId="4" borderId="1" xfId="1" applyFont="1" applyFill="1" applyBorder="1"/>
    <xf numFmtId="164" fontId="15" fillId="4" borderId="1" xfId="1" applyNumberFormat="1" applyFont="1" applyFill="1" applyBorder="1"/>
    <xf numFmtId="0" fontId="3" fillId="5" borderId="1" xfId="1" applyFill="1" applyBorder="1" applyAlignment="1">
      <alignment vertical="top"/>
    </xf>
    <xf numFmtId="164" fontId="5" fillId="5" borderId="1" xfId="1" applyNumberFormat="1" applyFont="1" applyFill="1" applyBorder="1"/>
    <xf numFmtId="0" fontId="3" fillId="5" borderId="1" xfId="1" applyFill="1" applyBorder="1" applyAlignment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2" fillId="7" borderId="1" xfId="0" applyFont="1" applyFill="1" applyBorder="1"/>
    <xf numFmtId="0" fontId="0" fillId="0" borderId="3" xfId="0" applyFill="1" applyBorder="1"/>
    <xf numFmtId="0" fontId="16" fillId="5" borderId="1" xfId="1" applyFont="1" applyFill="1" applyBorder="1"/>
    <xf numFmtId="164" fontId="16" fillId="5" borderId="1" xfId="1" applyNumberFormat="1" applyFont="1" applyFill="1" applyBorder="1"/>
    <xf numFmtId="164" fontId="5" fillId="5" borderId="0" xfId="1" applyNumberFormat="1" applyFont="1" applyFill="1"/>
    <xf numFmtId="164" fontId="3" fillId="5" borderId="0" xfId="1" applyNumberFormat="1" applyFill="1"/>
    <xf numFmtId="3" fontId="5" fillId="5" borderId="0" xfId="1" applyNumberFormat="1" applyFont="1" applyFill="1"/>
    <xf numFmtId="3" fontId="3" fillId="5" borderId="0" xfId="1" applyNumberFormat="1" applyFill="1"/>
    <xf numFmtId="0" fontId="17" fillId="5" borderId="1" xfId="1" applyFont="1" applyFill="1" applyBorder="1" applyAlignment="1">
      <alignment horizontal="left"/>
    </xf>
    <xf numFmtId="0" fontId="2" fillId="2" borderId="1" xfId="1" applyFont="1" applyFill="1" applyBorder="1" applyAlignment="1"/>
    <xf numFmtId="0" fontId="16" fillId="9" borderId="1" xfId="1" applyFont="1" applyFill="1" applyBorder="1" applyAlignment="1">
      <alignment horizontal="left"/>
    </xf>
    <xf numFmtId="0" fontId="16" fillId="9" borderId="1" xfId="1" applyFont="1" applyFill="1" applyBorder="1"/>
    <xf numFmtId="164" fontId="16" fillId="9" borderId="1" xfId="1" applyNumberFormat="1" applyFont="1" applyFill="1" applyBorder="1"/>
    <xf numFmtId="164" fontId="6" fillId="8" borderId="1" xfId="1" applyNumberFormat="1" applyFont="1" applyFill="1" applyBorder="1"/>
    <xf numFmtId="0" fontId="2" fillId="8" borderId="1" xfId="1" applyFont="1" applyFill="1" applyBorder="1"/>
    <xf numFmtId="0" fontId="2" fillId="10" borderId="1" xfId="1" applyFont="1" applyFill="1" applyBorder="1"/>
    <xf numFmtId="0" fontId="3" fillId="10" borderId="1" xfId="1" applyFill="1" applyBorder="1"/>
    <xf numFmtId="164" fontId="6" fillId="10" borderId="1" xfId="1" applyNumberFormat="1" applyFont="1" applyFill="1" applyBorder="1"/>
    <xf numFmtId="0" fontId="6" fillId="0" borderId="1" xfId="1" applyFont="1" applyBorder="1"/>
    <xf numFmtId="0" fontId="16" fillId="11" borderId="1" xfId="1" applyFont="1" applyFill="1" applyBorder="1" applyAlignment="1">
      <alignment horizontal="left"/>
    </xf>
    <xf numFmtId="0" fontId="16" fillId="11" borderId="1" xfId="1" applyFont="1" applyFill="1" applyBorder="1"/>
    <xf numFmtId="164" fontId="16" fillId="11" borderId="1" xfId="1" applyNumberFormat="1" applyFont="1" applyFill="1" applyBorder="1"/>
    <xf numFmtId="0" fontId="2" fillId="12" borderId="1" xfId="1" applyFont="1" applyFill="1" applyBorder="1"/>
    <xf numFmtId="0" fontId="3" fillId="12" borderId="1" xfId="1" applyFill="1" applyBorder="1"/>
    <xf numFmtId="0" fontId="2" fillId="5" borderId="1" xfId="1" applyFont="1" applyFill="1" applyBorder="1"/>
    <xf numFmtId="164" fontId="6" fillId="5" borderId="1" xfId="1" applyNumberFormat="1" applyFont="1" applyFill="1" applyBorder="1"/>
    <xf numFmtId="0" fontId="4" fillId="13" borderId="0" xfId="1" applyFont="1" applyFill="1" applyBorder="1" applyAlignment="1">
      <alignment horizontal="center"/>
    </xf>
    <xf numFmtId="0" fontId="4" fillId="13" borderId="0" xfId="1" applyFont="1" applyFill="1" applyBorder="1" applyAlignment="1">
      <alignment horizontal="left"/>
    </xf>
    <xf numFmtId="164" fontId="5" fillId="0" borderId="0" xfId="1" applyNumberFormat="1" applyFont="1" applyAlignment="1"/>
    <xf numFmtId="0" fontId="16" fillId="9" borderId="1" xfId="1" applyFont="1" applyFill="1" applyBorder="1" applyAlignment="1">
      <alignment horizontal="left" wrapText="1"/>
    </xf>
    <xf numFmtId="0" fontId="3" fillId="2" borderId="1" xfId="1" applyFill="1" applyBorder="1"/>
    <xf numFmtId="164" fontId="5" fillId="2" borderId="1" xfId="1" applyNumberFormat="1" applyFont="1" applyFill="1" applyBorder="1"/>
    <xf numFmtId="164" fontId="5" fillId="8" borderId="1" xfId="1" applyNumberFormat="1" applyFont="1" applyFill="1" applyBorder="1"/>
    <xf numFmtId="0" fontId="2" fillId="14" borderId="0" xfId="0" applyFont="1" applyFill="1"/>
    <xf numFmtId="43" fontId="2" fillId="14" borderId="0" xfId="19" applyFont="1" applyFill="1"/>
    <xf numFmtId="0" fontId="4" fillId="14" borderId="1" xfId="1" applyFont="1" applyFill="1" applyBorder="1" applyAlignment="1">
      <alignment horizontal="center"/>
    </xf>
    <xf numFmtId="0" fontId="4" fillId="14" borderId="1" xfId="1" applyFont="1" applyFill="1" applyBorder="1" applyAlignment="1"/>
    <xf numFmtId="0" fontId="2" fillId="14" borderId="1" xfId="0" applyFont="1" applyFill="1" applyBorder="1"/>
    <xf numFmtId="43" fontId="2" fillId="14" borderId="1" xfId="19" applyFont="1" applyFill="1" applyBorder="1"/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20">
    <cellStyle name="1Normal" xfId="2"/>
    <cellStyle name="Обычный" xfId="0" builtinId="0"/>
    <cellStyle name="Обычный 10" xfId="3"/>
    <cellStyle name="Обычный 11" xfId="1"/>
    <cellStyle name="Обычный 2" xfId="4"/>
    <cellStyle name="Обычный 2 10 2" xfId="5"/>
    <cellStyle name="Обычный 2 2" xfId="6"/>
    <cellStyle name="Обычный 3" xfId="7"/>
    <cellStyle name="Обычный 4" xfId="8"/>
    <cellStyle name="Обычный 5" xfId="9"/>
    <cellStyle name="Обычный 6" xfId="10"/>
    <cellStyle name="Обычный 64" xfId="11"/>
    <cellStyle name="Обычный 7" xfId="12"/>
    <cellStyle name="Обычный 8" xfId="13"/>
    <cellStyle name="Обычный 9" xfId="14"/>
    <cellStyle name="Стиль 1" xfId="15"/>
    <cellStyle name="Тысячи_БП-АО" xfId="16"/>
    <cellStyle name="Финансовый" xfId="19" builtinId="3"/>
    <cellStyle name="Финансовый 2" xfId="17"/>
    <cellStyle name="Финансовый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1057;&#1077;&#1088;&#1075;&#1077;&#1081;\Desktop\&#1055;&#1088;&#1086;&#1077;&#1082;&#1090;%20&#1052;&#1072;&#1103;&#1082;\&#1055;&#1088;&#1077;&#1076;&#1074;&#1072;&#1088;&#1080;&#1090;&#1077;&#1083;&#1100;&#1085;&#1099;&#1077;%20&#1088;&#1072;&#1089;&#1095;&#1077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СР Маяк"/>
      <sheetName val="Сводные результаты"/>
      <sheetName val="Цена ТП"/>
      <sheetName val="КП"/>
      <sheetName val="КП_доб"/>
      <sheetName val="ТП"/>
      <sheetName val="Амортизация"/>
      <sheetName val="отходы"/>
      <sheetName val="ТЭП"/>
      <sheetName val="Диаграммы"/>
      <sheetName val="Численность"/>
      <sheetName val="курсы"/>
      <sheetName val="ССР"/>
      <sheetName val="ССР_ж-д"/>
      <sheetName val="Расход эл.эн"/>
      <sheetName val="Погрузчик_перегру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9"/>
  <sheetViews>
    <sheetView topLeftCell="A19" workbookViewId="0">
      <selection activeCell="I28" sqref="I28"/>
    </sheetView>
  </sheetViews>
  <sheetFormatPr defaultColWidth="9.109375" defaultRowHeight="14.4"/>
  <cols>
    <col min="1" max="1" width="6.5546875" style="2" customWidth="1"/>
    <col min="2" max="2" width="46.44140625" style="2" customWidth="1"/>
    <col min="3" max="3" width="11" style="2" customWidth="1"/>
    <col min="4" max="4" width="15.33203125" style="2" customWidth="1"/>
    <col min="5" max="11" width="13.88671875" style="2" customWidth="1"/>
    <col min="12" max="12" width="16.5546875" style="2" customWidth="1"/>
    <col min="13" max="13" width="15.5546875" style="2" customWidth="1"/>
    <col min="14" max="14" width="18.109375" style="2" customWidth="1"/>
    <col min="15" max="15" width="15.5546875" style="2" customWidth="1"/>
    <col min="16" max="16" width="18.109375" style="2" customWidth="1"/>
    <col min="17" max="17" width="15.33203125" style="2" customWidth="1"/>
    <col min="18" max="18" width="10.33203125" style="2" bestFit="1" customWidth="1"/>
    <col min="19" max="19" width="38.109375" style="2" customWidth="1"/>
    <col min="20" max="20" width="16.33203125" style="2" customWidth="1"/>
    <col min="21" max="21" width="12.33203125" style="2" customWidth="1"/>
    <col min="22" max="22" width="9.109375" style="2"/>
    <col min="23" max="23" width="24.6640625" style="2" customWidth="1"/>
    <col min="24" max="24" width="9" style="2" customWidth="1"/>
    <col min="25" max="26" width="9.109375" style="2"/>
    <col min="27" max="27" width="13.5546875" style="2" customWidth="1"/>
    <col min="28" max="16384" width="9.109375" style="2"/>
  </cols>
  <sheetData>
    <row r="1" spans="1:29" ht="15.6">
      <c r="B1" s="3" t="s">
        <v>34</v>
      </c>
    </row>
    <row r="3" spans="1:29" ht="15.6">
      <c r="A3" s="1" t="s">
        <v>25</v>
      </c>
      <c r="B3" s="1" t="s">
        <v>23</v>
      </c>
      <c r="C3" s="1" t="s">
        <v>24</v>
      </c>
      <c r="D3" s="107">
        <v>2024</v>
      </c>
      <c r="E3" s="108"/>
      <c r="F3" s="108"/>
      <c r="G3" s="109"/>
      <c r="H3" s="107">
        <v>2025</v>
      </c>
      <c r="I3" s="108"/>
      <c r="J3" s="108"/>
      <c r="K3" s="108"/>
      <c r="L3" s="109"/>
      <c r="M3" s="1">
        <v>2026</v>
      </c>
      <c r="N3" s="1">
        <v>2027</v>
      </c>
      <c r="O3" s="1">
        <v>2028</v>
      </c>
      <c r="P3" s="1">
        <v>2029</v>
      </c>
      <c r="Q3" s="3"/>
      <c r="R3" s="3"/>
      <c r="S3" s="36" t="s">
        <v>27</v>
      </c>
      <c r="T3" s="31"/>
      <c r="W3" s="28" t="s">
        <v>26</v>
      </c>
      <c r="X3" s="38"/>
      <c r="Y3" s="38"/>
    </row>
    <row r="4" spans="1:29" ht="15.6">
      <c r="A4" s="14"/>
      <c r="C4" s="14"/>
      <c r="D4" s="14" t="s">
        <v>119</v>
      </c>
      <c r="E4" s="14" t="s">
        <v>120</v>
      </c>
      <c r="F4" s="14" t="s">
        <v>121</v>
      </c>
      <c r="G4" s="14"/>
      <c r="H4" s="14" t="s">
        <v>118</v>
      </c>
      <c r="I4" s="14" t="s">
        <v>119</v>
      </c>
      <c r="J4" s="14" t="s">
        <v>122</v>
      </c>
      <c r="K4" s="14" t="s">
        <v>123</v>
      </c>
      <c r="L4" s="15"/>
      <c r="M4" s="14"/>
      <c r="N4" s="14"/>
      <c r="O4" s="14"/>
      <c r="P4" s="14"/>
      <c r="Q4" s="3"/>
      <c r="R4" s="3"/>
      <c r="S4" s="31"/>
      <c r="T4" s="31"/>
      <c r="W4" s="38"/>
      <c r="X4" s="38"/>
      <c r="Y4" s="38"/>
    </row>
    <row r="5" spans="1:29" ht="15.6">
      <c r="A5" s="14"/>
      <c r="B5" s="95" t="s">
        <v>124</v>
      </c>
      <c r="C5" s="94"/>
      <c r="D5" s="94">
        <f>SUM(D6,D11)</f>
        <v>5000000</v>
      </c>
      <c r="E5" s="94">
        <f t="shared" ref="E5:K5" si="0">SUM(E6,E11)</f>
        <v>39000000</v>
      </c>
      <c r="F5" s="94">
        <f t="shared" si="0"/>
        <v>9000000</v>
      </c>
      <c r="G5" s="94">
        <f t="shared" si="0"/>
        <v>53000000</v>
      </c>
      <c r="H5" s="94">
        <f t="shared" si="0"/>
        <v>9000000</v>
      </c>
      <c r="I5" s="94">
        <f t="shared" si="0"/>
        <v>107900000</v>
      </c>
      <c r="J5" s="94">
        <f t="shared" si="0"/>
        <v>107900000</v>
      </c>
      <c r="K5" s="94">
        <f t="shared" si="0"/>
        <v>107900000</v>
      </c>
      <c r="L5" s="94">
        <f>SUM(L6,L11)</f>
        <v>332700000</v>
      </c>
      <c r="M5" s="94">
        <f t="shared" ref="M5:P5" si="1">SUM(M6,M11)</f>
        <v>342500000</v>
      </c>
      <c r="N5" s="94">
        <f t="shared" si="1"/>
        <v>342500000</v>
      </c>
      <c r="O5" s="94">
        <f t="shared" si="1"/>
        <v>342500000</v>
      </c>
      <c r="P5" s="94">
        <f t="shared" si="1"/>
        <v>342500000</v>
      </c>
      <c r="Q5" s="3"/>
      <c r="R5" s="3"/>
      <c r="S5" s="31"/>
      <c r="T5" s="31"/>
      <c r="W5" s="38"/>
      <c r="X5" s="38"/>
      <c r="Y5" s="38"/>
    </row>
    <row r="6" spans="1:29" ht="15.6">
      <c r="A6" s="14"/>
      <c r="B6" s="29" t="s">
        <v>128</v>
      </c>
      <c r="C6" s="29"/>
      <c r="D6" s="29">
        <f>D7*D8</f>
        <v>0</v>
      </c>
      <c r="E6" s="29">
        <f>E7*E8</f>
        <v>9000000</v>
      </c>
      <c r="F6" s="29">
        <f>F7*F8</f>
        <v>9000000</v>
      </c>
      <c r="G6" s="29">
        <f t="shared" ref="G6" si="2">G7*G8</f>
        <v>18000000</v>
      </c>
      <c r="H6" s="29">
        <f>H7*H8+H10*H9</f>
        <v>9000000</v>
      </c>
      <c r="I6" s="29">
        <f t="shared" ref="I6:K6" si="3">I7*I8+I10*I9</f>
        <v>107900000</v>
      </c>
      <c r="J6" s="29">
        <f t="shared" si="3"/>
        <v>107900000</v>
      </c>
      <c r="K6" s="29">
        <f t="shared" si="3"/>
        <v>107900000</v>
      </c>
      <c r="L6" s="30">
        <f>L7*L8+L9*L10</f>
        <v>332700000</v>
      </c>
      <c r="M6" s="30">
        <f t="shared" ref="M6:P6" si="4">M7*M8+M9*M10</f>
        <v>342500000</v>
      </c>
      <c r="N6" s="30">
        <f t="shared" si="4"/>
        <v>342500000</v>
      </c>
      <c r="O6" s="30">
        <f t="shared" si="4"/>
        <v>342500000</v>
      </c>
      <c r="P6" s="30">
        <f t="shared" si="4"/>
        <v>342500000</v>
      </c>
      <c r="Q6" s="3"/>
      <c r="R6" s="3"/>
      <c r="S6" s="31"/>
      <c r="T6" s="31"/>
      <c r="W6" s="39" t="s">
        <v>68</v>
      </c>
      <c r="X6" s="39">
        <v>4</v>
      </c>
      <c r="Y6" s="39">
        <f>X6*50000</f>
        <v>200000</v>
      </c>
      <c r="AA6" s="31" t="s">
        <v>64</v>
      </c>
      <c r="AB6" s="31"/>
      <c r="AC6" s="31">
        <v>120000</v>
      </c>
    </row>
    <row r="7" spans="1:29">
      <c r="B7" s="63" t="s">
        <v>126</v>
      </c>
      <c r="C7" s="39"/>
      <c r="D7" s="39"/>
      <c r="E7" s="39">
        <v>25000</v>
      </c>
      <c r="F7" s="39">
        <v>25000</v>
      </c>
      <c r="G7" s="39">
        <f>SUM(E7:F7)</f>
        <v>50000</v>
      </c>
      <c r="H7" s="39">
        <v>25000</v>
      </c>
      <c r="I7" s="39">
        <v>40000</v>
      </c>
      <c r="J7" s="39">
        <v>40000</v>
      </c>
      <c r="K7" s="39">
        <v>40000</v>
      </c>
      <c r="L7" s="64">
        <f>SUM(H7:K7)</f>
        <v>145000</v>
      </c>
      <c r="M7" s="64">
        <v>150000</v>
      </c>
      <c r="N7" s="64">
        <v>150000</v>
      </c>
      <c r="O7" s="64">
        <v>150000</v>
      </c>
      <c r="P7" s="64">
        <v>150000</v>
      </c>
      <c r="Q7" s="5"/>
      <c r="R7" s="5"/>
      <c r="S7" s="32" t="s">
        <v>94</v>
      </c>
      <c r="T7" s="32">
        <v>200000000</v>
      </c>
      <c r="U7" s="5"/>
      <c r="V7" s="7"/>
      <c r="W7" s="40" t="s">
        <v>67</v>
      </c>
      <c r="X7" s="39">
        <v>4</v>
      </c>
      <c r="Y7" s="41">
        <f>X7*100000</f>
        <v>400000</v>
      </c>
      <c r="Z7" s="12"/>
      <c r="AA7" s="42" t="s">
        <v>79</v>
      </c>
      <c r="AB7" s="43">
        <v>4</v>
      </c>
      <c r="AC7" s="43">
        <v>240000</v>
      </c>
    </row>
    <row r="8" spans="1:29">
      <c r="B8" s="65" t="s">
        <v>127</v>
      </c>
      <c r="C8" s="39"/>
      <c r="D8" s="39"/>
      <c r="E8" s="64">
        <v>360</v>
      </c>
      <c r="F8" s="64">
        <v>360</v>
      </c>
      <c r="G8" s="64">
        <v>360</v>
      </c>
      <c r="H8" s="64">
        <v>360</v>
      </c>
      <c r="I8" s="64">
        <v>360</v>
      </c>
      <c r="J8" s="64">
        <v>360</v>
      </c>
      <c r="K8" s="64">
        <v>360</v>
      </c>
      <c r="L8" s="64">
        <v>360</v>
      </c>
      <c r="M8" s="64">
        <v>300</v>
      </c>
      <c r="N8" s="64">
        <v>300</v>
      </c>
      <c r="O8" s="64">
        <v>300</v>
      </c>
      <c r="P8" s="64">
        <v>300</v>
      </c>
      <c r="Q8" s="5"/>
      <c r="R8" s="5"/>
      <c r="S8" s="32" t="s">
        <v>95</v>
      </c>
      <c r="T8" s="32">
        <v>35000000</v>
      </c>
      <c r="U8" s="5"/>
      <c r="V8" s="7"/>
      <c r="W8" s="40" t="s">
        <v>69</v>
      </c>
      <c r="X8" s="39">
        <v>4</v>
      </c>
      <c r="Y8" s="41">
        <f>X8*80000</f>
        <v>320000</v>
      </c>
      <c r="Z8" s="12"/>
      <c r="AA8" s="42" t="s">
        <v>80</v>
      </c>
      <c r="AB8" s="43">
        <v>2</v>
      </c>
      <c r="AC8" s="43">
        <v>120000</v>
      </c>
    </row>
    <row r="9" spans="1:29">
      <c r="B9" s="65" t="s">
        <v>125</v>
      </c>
      <c r="C9" s="39"/>
      <c r="D9" s="39"/>
      <c r="E9" s="39"/>
      <c r="F9" s="39"/>
      <c r="G9" s="39"/>
      <c r="H9" s="39"/>
      <c r="I9" s="39">
        <v>110000</v>
      </c>
      <c r="J9" s="39">
        <v>110000</v>
      </c>
      <c r="K9" s="39">
        <v>110000</v>
      </c>
      <c r="L9" s="64">
        <f>SUM(H9:K9)</f>
        <v>330000</v>
      </c>
      <c r="M9" s="64">
        <v>350000</v>
      </c>
      <c r="N9" s="64">
        <v>350000</v>
      </c>
      <c r="O9" s="64">
        <v>350000</v>
      </c>
      <c r="P9" s="64">
        <v>350000</v>
      </c>
      <c r="Q9" s="5"/>
      <c r="R9" s="5"/>
      <c r="S9" s="32" t="s">
        <v>96</v>
      </c>
      <c r="T9" s="32">
        <v>12500000</v>
      </c>
      <c r="U9" s="5"/>
      <c r="V9" s="7"/>
      <c r="W9" s="40" t="s">
        <v>70</v>
      </c>
      <c r="X9" s="39">
        <v>4</v>
      </c>
      <c r="Y9" s="41">
        <f>X9*80000</f>
        <v>320000</v>
      </c>
      <c r="Z9" s="12"/>
      <c r="AA9" s="42" t="s">
        <v>81</v>
      </c>
      <c r="AB9" s="43">
        <v>4</v>
      </c>
      <c r="AC9" s="43">
        <v>240000</v>
      </c>
    </row>
    <row r="10" spans="1:29">
      <c r="B10" s="65" t="s">
        <v>127</v>
      </c>
      <c r="C10" s="39"/>
      <c r="D10" s="39"/>
      <c r="E10" s="39"/>
      <c r="F10" s="39"/>
      <c r="G10" s="39"/>
      <c r="H10" s="64"/>
      <c r="I10" s="64">
        <v>850</v>
      </c>
      <c r="J10" s="64">
        <v>850</v>
      </c>
      <c r="K10" s="64">
        <v>850</v>
      </c>
      <c r="L10" s="64">
        <v>850</v>
      </c>
      <c r="M10" s="64">
        <v>850</v>
      </c>
      <c r="N10" s="64">
        <v>850</v>
      </c>
      <c r="O10" s="64">
        <v>850</v>
      </c>
      <c r="P10" s="64">
        <v>850</v>
      </c>
      <c r="Q10" s="5"/>
      <c r="R10" s="5"/>
      <c r="S10" s="32" t="s">
        <v>151</v>
      </c>
      <c r="T10" s="32">
        <v>37000000</v>
      </c>
      <c r="U10" s="5"/>
      <c r="V10" s="7"/>
      <c r="W10" s="40" t="s">
        <v>71</v>
      </c>
      <c r="X10" s="39">
        <v>2</v>
      </c>
      <c r="Y10" s="41">
        <f>X10*80000</f>
        <v>160000</v>
      </c>
      <c r="Z10" s="12"/>
      <c r="AA10" s="12"/>
      <c r="AB10" s="11"/>
      <c r="AC10" s="11"/>
    </row>
    <row r="11" spans="1:29">
      <c r="B11" s="77" t="s">
        <v>134</v>
      </c>
      <c r="C11" s="98"/>
      <c r="D11" s="98">
        <v>5000000</v>
      </c>
      <c r="E11" s="98">
        <v>30000000</v>
      </c>
      <c r="F11" s="98"/>
      <c r="G11" s="98">
        <f>SUM(D11:F11)</f>
        <v>35000000</v>
      </c>
      <c r="H11" s="99"/>
      <c r="I11" s="99"/>
      <c r="J11" s="99"/>
      <c r="K11" s="99"/>
      <c r="L11" s="99"/>
      <c r="M11" s="99"/>
      <c r="N11" s="99"/>
      <c r="O11" s="99"/>
      <c r="P11" s="99"/>
      <c r="Q11" s="5"/>
      <c r="R11" s="5"/>
      <c r="S11" s="32"/>
      <c r="T11" s="32"/>
      <c r="U11" s="5"/>
      <c r="V11" s="7"/>
      <c r="W11" s="40"/>
      <c r="X11" s="39"/>
      <c r="Y11" s="41"/>
      <c r="Z11" s="12"/>
      <c r="AA11" s="12"/>
      <c r="AB11" s="11"/>
      <c r="AC11" s="11"/>
    </row>
    <row r="12" spans="1:29">
      <c r="B12" s="87" t="s">
        <v>0</v>
      </c>
      <c r="C12" s="88"/>
      <c r="D12" s="89">
        <f>SUM(D14:D24,D39,D51)</f>
        <v>5000000</v>
      </c>
      <c r="E12" s="89">
        <f t="shared" ref="E12:P12" si="5">SUM(E13,E26,E39,E51)</f>
        <v>29487500</v>
      </c>
      <c r="F12" s="89">
        <f t="shared" si="5"/>
        <v>3487500</v>
      </c>
      <c r="G12" s="89">
        <f t="shared" si="5"/>
        <v>37975000</v>
      </c>
      <c r="H12" s="89">
        <f t="shared" si="5"/>
        <v>8287500</v>
      </c>
      <c r="I12" s="89">
        <f t="shared" si="5"/>
        <v>56679500</v>
      </c>
      <c r="J12" s="89">
        <f t="shared" si="5"/>
        <v>56879500</v>
      </c>
      <c r="K12" s="89">
        <f t="shared" si="5"/>
        <v>49279500</v>
      </c>
      <c r="L12" s="89">
        <f t="shared" si="5"/>
        <v>173126000</v>
      </c>
      <c r="M12" s="89">
        <f t="shared" si="5"/>
        <v>163397789.47368419</v>
      </c>
      <c r="N12" s="89">
        <f t="shared" si="5"/>
        <v>183797789.47368419</v>
      </c>
      <c r="O12" s="89">
        <f t="shared" si="5"/>
        <v>183797789.47368419</v>
      </c>
      <c r="P12" s="89">
        <f t="shared" si="5"/>
        <v>183797789.47368419</v>
      </c>
      <c r="Q12" s="5"/>
      <c r="R12" s="5"/>
      <c r="S12" s="32"/>
      <c r="T12" s="32"/>
      <c r="U12" s="5">
        <f>SUM(T7:T10)</f>
        <v>284500000</v>
      </c>
      <c r="V12" s="7"/>
      <c r="W12" s="40" t="s">
        <v>72</v>
      </c>
      <c r="X12" s="39">
        <v>2</v>
      </c>
      <c r="Y12" s="41">
        <f>X12*80000</f>
        <v>160000</v>
      </c>
      <c r="Z12" s="12"/>
      <c r="AA12" s="12"/>
      <c r="AB12" s="11"/>
      <c r="AC12" s="11"/>
    </row>
    <row r="13" spans="1:29">
      <c r="B13" s="78" t="s">
        <v>139</v>
      </c>
      <c r="C13" s="79"/>
      <c r="D13" s="80">
        <f>SUM(D14:D24)</f>
        <v>5000000</v>
      </c>
      <c r="E13" s="80">
        <f>SUM(E14:E24)</f>
        <v>12000000</v>
      </c>
      <c r="F13" s="80">
        <f>SUM(F14:F24)</f>
        <v>1000000</v>
      </c>
      <c r="G13" s="80">
        <f>SUM(G14:G24)</f>
        <v>18000000</v>
      </c>
      <c r="H13" s="80">
        <f t="shared" ref="H13:K13" si="6">SUM(H14:H24)</f>
        <v>5500000</v>
      </c>
      <c r="I13" s="80">
        <f>SUM(I14:I25)</f>
        <v>12400000</v>
      </c>
      <c r="J13" s="80">
        <f t="shared" si="6"/>
        <v>12600000</v>
      </c>
      <c r="K13" s="80">
        <f t="shared" si="6"/>
        <v>5000000</v>
      </c>
      <c r="L13" s="80">
        <f>SUM(L14:L25)</f>
        <v>37500000</v>
      </c>
      <c r="M13" s="80">
        <f t="shared" ref="M13" si="7">SUM(M14:M24)</f>
        <v>0</v>
      </c>
      <c r="N13" s="80">
        <f t="shared" ref="N13" si="8">SUM(N14:N24)</f>
        <v>0</v>
      </c>
      <c r="O13" s="80">
        <f t="shared" ref="O13:P13" si="9">SUM(O14:O24)</f>
        <v>0</v>
      </c>
      <c r="P13" s="80">
        <f t="shared" si="9"/>
        <v>0</v>
      </c>
      <c r="Q13" s="5"/>
      <c r="R13" s="5"/>
      <c r="S13" s="32"/>
      <c r="T13" s="32"/>
      <c r="U13" s="5"/>
      <c r="V13" s="7"/>
      <c r="W13" s="40"/>
      <c r="X13" s="39"/>
      <c r="Y13" s="41"/>
      <c r="Z13" s="12"/>
      <c r="AA13" s="12"/>
      <c r="AB13" s="11"/>
      <c r="AC13" s="11"/>
    </row>
    <row r="14" spans="1:29" s="38" customFormat="1">
      <c r="B14" s="76" t="s">
        <v>65</v>
      </c>
      <c r="C14" s="70"/>
      <c r="D14" s="23">
        <v>500000</v>
      </c>
      <c r="E14" s="25">
        <v>3500000</v>
      </c>
      <c r="F14" s="71"/>
      <c r="G14" s="71">
        <f>SUM(D14:F14)</f>
        <v>4000000</v>
      </c>
      <c r="H14" s="71">
        <v>1000000</v>
      </c>
      <c r="I14" s="71">
        <v>3000000</v>
      </c>
      <c r="J14" s="71">
        <v>3000000</v>
      </c>
      <c r="K14" s="71">
        <v>2000000</v>
      </c>
      <c r="L14" s="71">
        <f t="shared" ref="L14:L23" si="10">SUM(H14:K14)</f>
        <v>9000000</v>
      </c>
      <c r="M14" s="71"/>
      <c r="N14" s="71"/>
      <c r="O14" s="71"/>
      <c r="P14" s="71"/>
      <c r="Q14" s="72"/>
      <c r="R14" s="72"/>
      <c r="S14" s="64"/>
      <c r="T14" s="64"/>
      <c r="U14" s="72"/>
      <c r="V14" s="73"/>
      <c r="W14" s="40"/>
      <c r="X14" s="39"/>
      <c r="Y14" s="41"/>
      <c r="Z14" s="74"/>
      <c r="AA14" s="74"/>
      <c r="AB14" s="75"/>
      <c r="AC14" s="75"/>
    </row>
    <row r="15" spans="1:29" s="38" customFormat="1">
      <c r="B15" s="76" t="s">
        <v>35</v>
      </c>
      <c r="C15" s="70"/>
      <c r="D15" s="23">
        <v>3000000</v>
      </c>
      <c r="E15" s="71"/>
      <c r="F15" s="71"/>
      <c r="G15" s="71">
        <f t="shared" ref="G15:G21" si="11">SUM(D15:F15)</f>
        <v>3000000</v>
      </c>
      <c r="H15" s="71"/>
      <c r="I15" s="71"/>
      <c r="J15" s="71"/>
      <c r="K15" s="71"/>
      <c r="L15" s="71">
        <f t="shared" si="10"/>
        <v>0</v>
      </c>
      <c r="M15" s="71"/>
      <c r="N15" s="71"/>
      <c r="O15" s="71"/>
      <c r="P15" s="71"/>
      <c r="Q15" s="72"/>
      <c r="R15" s="72"/>
      <c r="S15" s="64"/>
      <c r="T15" s="64"/>
      <c r="U15" s="72"/>
      <c r="V15" s="73"/>
      <c r="W15" s="40"/>
      <c r="X15" s="39"/>
      <c r="Y15" s="41"/>
      <c r="Z15" s="74"/>
      <c r="AA15" s="74"/>
      <c r="AB15" s="75"/>
      <c r="AC15" s="75"/>
    </row>
    <row r="16" spans="1:29" s="38" customFormat="1">
      <c r="B16" s="22" t="s">
        <v>44</v>
      </c>
      <c r="C16" s="70"/>
      <c r="D16" s="23">
        <v>300000</v>
      </c>
      <c r="E16" s="71"/>
      <c r="F16" s="71"/>
      <c r="G16" s="71">
        <f t="shared" si="11"/>
        <v>300000</v>
      </c>
      <c r="H16" s="71"/>
      <c r="I16" s="71"/>
      <c r="J16" s="71"/>
      <c r="K16" s="71"/>
      <c r="L16" s="71">
        <f t="shared" si="10"/>
        <v>0</v>
      </c>
      <c r="M16" s="71"/>
      <c r="N16" s="71"/>
      <c r="O16" s="71"/>
      <c r="P16" s="71"/>
      <c r="Q16" s="72"/>
      <c r="R16" s="72"/>
      <c r="S16" s="64"/>
      <c r="T16" s="64"/>
      <c r="U16" s="72"/>
      <c r="V16" s="73"/>
      <c r="W16" s="40"/>
      <c r="X16" s="39"/>
      <c r="Y16" s="41"/>
      <c r="Z16" s="74"/>
      <c r="AA16" s="74"/>
      <c r="AB16" s="75"/>
      <c r="AC16" s="75"/>
    </row>
    <row r="17" spans="2:29" s="38" customFormat="1">
      <c r="B17" s="22" t="s">
        <v>37</v>
      </c>
      <c r="C17" s="70"/>
      <c r="D17" s="23">
        <v>1200000</v>
      </c>
      <c r="E17" s="71"/>
      <c r="F17" s="71"/>
      <c r="G17" s="71">
        <f t="shared" si="11"/>
        <v>1200000</v>
      </c>
      <c r="H17" s="71"/>
      <c r="I17" s="71"/>
      <c r="J17" s="71"/>
      <c r="K17" s="71"/>
      <c r="L17" s="71">
        <f t="shared" si="10"/>
        <v>0</v>
      </c>
      <c r="M17" s="71"/>
      <c r="N17" s="71"/>
      <c r="O17" s="71"/>
      <c r="P17" s="71"/>
      <c r="Q17" s="72"/>
      <c r="R17" s="72"/>
      <c r="S17" s="64"/>
      <c r="T17" s="64"/>
      <c r="U17" s="72"/>
      <c r="V17" s="73"/>
      <c r="W17" s="40"/>
      <c r="X17" s="39"/>
      <c r="Y17" s="41"/>
      <c r="Z17" s="74"/>
      <c r="AA17" s="74"/>
      <c r="AB17" s="75"/>
      <c r="AC17" s="75"/>
    </row>
    <row r="18" spans="2:29" s="38" customFormat="1">
      <c r="B18" s="22" t="s">
        <v>130</v>
      </c>
      <c r="C18" s="70"/>
      <c r="D18" s="23"/>
      <c r="E18" s="71">
        <v>4000000</v>
      </c>
      <c r="F18" s="71"/>
      <c r="G18" s="71">
        <f t="shared" si="11"/>
        <v>4000000</v>
      </c>
      <c r="H18" s="71"/>
      <c r="I18" s="71">
        <v>4000000</v>
      </c>
      <c r="J18" s="71">
        <v>3000000</v>
      </c>
      <c r="K18" s="71">
        <v>3000000</v>
      </c>
      <c r="L18" s="71">
        <f t="shared" si="10"/>
        <v>10000000</v>
      </c>
      <c r="M18" s="71"/>
      <c r="N18" s="71"/>
      <c r="O18" s="71"/>
      <c r="P18" s="71"/>
      <c r="Q18" s="72"/>
      <c r="R18" s="72"/>
      <c r="S18" s="64"/>
      <c r="T18" s="64"/>
      <c r="U18" s="72"/>
      <c r="V18" s="73"/>
      <c r="W18" s="40"/>
      <c r="X18" s="39"/>
      <c r="Y18" s="41"/>
      <c r="Z18" s="74"/>
      <c r="AA18" s="74"/>
      <c r="AB18" s="75"/>
      <c r="AC18" s="75"/>
    </row>
    <row r="19" spans="2:29" s="38" customFormat="1">
      <c r="B19" s="22" t="s">
        <v>99</v>
      </c>
      <c r="C19" s="70"/>
      <c r="D19" s="23"/>
      <c r="E19" s="71">
        <v>4000000</v>
      </c>
      <c r="F19" s="71"/>
      <c r="G19" s="71">
        <f t="shared" si="11"/>
        <v>4000000</v>
      </c>
      <c r="H19" s="71">
        <v>2000000</v>
      </c>
      <c r="I19" s="71"/>
      <c r="J19" s="71"/>
      <c r="K19" s="71"/>
      <c r="L19" s="71">
        <f t="shared" si="10"/>
        <v>2000000</v>
      </c>
      <c r="M19" s="71"/>
      <c r="N19" s="71"/>
      <c r="O19" s="71"/>
      <c r="P19" s="71"/>
      <c r="Q19" s="72"/>
      <c r="R19" s="72"/>
      <c r="S19" s="64"/>
      <c r="T19" s="64"/>
      <c r="U19" s="72"/>
      <c r="V19" s="73"/>
      <c r="W19" s="40"/>
      <c r="X19" s="39"/>
      <c r="Y19" s="41"/>
      <c r="Z19" s="74"/>
      <c r="AA19" s="74"/>
      <c r="AB19" s="75"/>
      <c r="AC19" s="75"/>
    </row>
    <row r="20" spans="2:29" s="38" customFormat="1">
      <c r="B20" s="22" t="s">
        <v>131</v>
      </c>
      <c r="C20" s="70"/>
      <c r="D20" s="23"/>
      <c r="E20" s="71">
        <v>500000</v>
      </c>
      <c r="F20" s="71"/>
      <c r="G20" s="71">
        <f t="shared" si="11"/>
        <v>500000</v>
      </c>
      <c r="H20" s="71"/>
      <c r="I20" s="71"/>
      <c r="J20" s="71"/>
      <c r="K20" s="71"/>
      <c r="L20" s="71">
        <f t="shared" si="10"/>
        <v>0</v>
      </c>
      <c r="M20" s="71"/>
      <c r="N20" s="71"/>
      <c r="O20" s="71"/>
      <c r="P20" s="71"/>
      <c r="Q20" s="72"/>
      <c r="R20" s="72"/>
      <c r="S20" s="64"/>
      <c r="T20" s="64"/>
      <c r="U20" s="72"/>
      <c r="V20" s="73"/>
      <c r="W20" s="40"/>
      <c r="X20" s="39"/>
      <c r="Y20" s="41"/>
      <c r="Z20" s="74"/>
      <c r="AA20" s="74"/>
      <c r="AB20" s="75"/>
      <c r="AC20" s="75"/>
    </row>
    <row r="21" spans="2:29" s="38" customFormat="1">
      <c r="B21" s="22" t="s">
        <v>132</v>
      </c>
      <c r="C21" s="70"/>
      <c r="D21" s="23"/>
      <c r="E21" s="71"/>
      <c r="F21" s="71">
        <v>1000000</v>
      </c>
      <c r="G21" s="71">
        <f t="shared" si="11"/>
        <v>1000000</v>
      </c>
      <c r="H21" s="71"/>
      <c r="I21" s="71"/>
      <c r="J21" s="71"/>
      <c r="K21" s="71"/>
      <c r="L21" s="71">
        <f t="shared" si="10"/>
        <v>0</v>
      </c>
      <c r="M21" s="71"/>
      <c r="N21" s="71"/>
      <c r="O21" s="71"/>
      <c r="P21" s="71"/>
      <c r="Q21" s="72"/>
      <c r="R21" s="72"/>
      <c r="S21" s="64"/>
      <c r="T21" s="64"/>
      <c r="U21" s="72"/>
      <c r="V21" s="73"/>
      <c r="W21" s="40"/>
      <c r="X21" s="39"/>
      <c r="Y21" s="41"/>
      <c r="Z21" s="74"/>
      <c r="AA21" s="74"/>
      <c r="AB21" s="75"/>
      <c r="AC21" s="75"/>
    </row>
    <row r="22" spans="2:29" s="38" customFormat="1">
      <c r="B22" s="22" t="s">
        <v>136</v>
      </c>
      <c r="C22" s="70"/>
      <c r="D22" s="23"/>
      <c r="E22" s="71"/>
      <c r="F22" s="71"/>
      <c r="G22" s="71"/>
      <c r="H22" s="71">
        <v>1500000</v>
      </c>
      <c r="I22" s="71"/>
      <c r="J22" s="71"/>
      <c r="K22" s="71"/>
      <c r="L22" s="71">
        <f t="shared" si="10"/>
        <v>1500000</v>
      </c>
      <c r="M22" s="71"/>
      <c r="N22" s="71"/>
      <c r="O22" s="71"/>
      <c r="P22" s="71"/>
      <c r="Q22" s="72"/>
      <c r="R22" s="72"/>
      <c r="S22" s="64"/>
      <c r="T22" s="64"/>
      <c r="U22" s="72"/>
      <c r="V22" s="73"/>
      <c r="W22" s="40"/>
      <c r="X22" s="39"/>
      <c r="Y22" s="41"/>
      <c r="Z22" s="74"/>
      <c r="AA22" s="74"/>
      <c r="AB22" s="75"/>
      <c r="AC22" s="75"/>
    </row>
    <row r="23" spans="2:29" s="38" customFormat="1">
      <c r="B23" s="22" t="s">
        <v>137</v>
      </c>
      <c r="C23" s="70"/>
      <c r="D23" s="23"/>
      <c r="E23" s="71"/>
      <c r="F23" s="71"/>
      <c r="G23" s="71"/>
      <c r="H23" s="71"/>
      <c r="I23" s="71">
        <v>1000000</v>
      </c>
      <c r="J23" s="71">
        <v>3200000</v>
      </c>
      <c r="K23" s="71"/>
      <c r="L23" s="71">
        <f t="shared" si="10"/>
        <v>4200000</v>
      </c>
      <c r="M23" s="71"/>
      <c r="N23" s="71"/>
      <c r="O23" s="71"/>
      <c r="P23" s="71"/>
      <c r="Q23" s="72"/>
      <c r="R23" s="72"/>
      <c r="S23" s="64"/>
      <c r="T23" s="64"/>
      <c r="U23" s="72"/>
      <c r="V23" s="73"/>
      <c r="W23" s="40"/>
      <c r="X23" s="39"/>
      <c r="Y23" s="41"/>
      <c r="Z23" s="74"/>
      <c r="AA23" s="74"/>
      <c r="AB23" s="75"/>
      <c r="AC23" s="75"/>
    </row>
    <row r="24" spans="2:29" s="38" customFormat="1">
      <c r="B24" s="22" t="s">
        <v>138</v>
      </c>
      <c r="C24" s="70"/>
      <c r="D24" s="23"/>
      <c r="E24" s="71"/>
      <c r="F24" s="71"/>
      <c r="G24" s="71"/>
      <c r="H24" s="71">
        <v>1000000</v>
      </c>
      <c r="I24" s="71">
        <v>2400000</v>
      </c>
      <c r="J24" s="71">
        <v>3400000</v>
      </c>
      <c r="K24" s="71"/>
      <c r="L24" s="71">
        <f>SUM(H24:K24)</f>
        <v>6800000</v>
      </c>
      <c r="M24" s="71"/>
      <c r="N24" s="71"/>
      <c r="O24" s="71"/>
      <c r="P24" s="71"/>
      <c r="Q24" s="72"/>
      <c r="R24" s="72"/>
      <c r="S24" s="64"/>
      <c r="T24" s="64"/>
      <c r="U24" s="72"/>
      <c r="V24" s="73"/>
      <c r="W24" s="40"/>
      <c r="X24" s="39"/>
      <c r="Y24" s="41"/>
      <c r="Z24" s="74"/>
      <c r="AA24" s="74"/>
      <c r="AB24" s="75"/>
      <c r="AC24" s="75"/>
    </row>
    <row r="25" spans="2:29" s="38" customFormat="1">
      <c r="B25" s="22" t="s">
        <v>98</v>
      </c>
      <c r="C25" s="70"/>
      <c r="D25" s="23"/>
      <c r="E25" s="71"/>
      <c r="F25" s="71"/>
      <c r="G25" s="71"/>
      <c r="H25" s="71"/>
      <c r="I25" s="71">
        <v>2000000</v>
      </c>
      <c r="J25" s="71"/>
      <c r="K25" s="71">
        <v>2000000</v>
      </c>
      <c r="L25" s="71">
        <f>SUM(H25:K25)</f>
        <v>4000000</v>
      </c>
      <c r="M25" s="71"/>
      <c r="N25" s="71"/>
      <c r="O25" s="71"/>
      <c r="P25" s="71"/>
      <c r="Q25" s="72"/>
      <c r="R25" s="72"/>
      <c r="S25" s="64"/>
      <c r="T25" s="64"/>
      <c r="U25" s="72"/>
      <c r="V25" s="73"/>
      <c r="W25" s="40"/>
      <c r="X25" s="39"/>
      <c r="Y25" s="41"/>
      <c r="Z25" s="74"/>
      <c r="AA25" s="74"/>
      <c r="AB25" s="75"/>
      <c r="AC25" s="75"/>
    </row>
    <row r="26" spans="2:29">
      <c r="B26" s="82" t="s">
        <v>103</v>
      </c>
      <c r="C26" s="82"/>
      <c r="D26" s="82"/>
      <c r="E26" s="81">
        <f>SUM(E27:E36)</f>
        <v>1250000</v>
      </c>
      <c r="F26" s="81">
        <f t="shared" ref="F26:H26" si="12">SUM(F27:F36)</f>
        <v>1250000</v>
      </c>
      <c r="G26" s="81">
        <f t="shared" si="12"/>
        <v>2500000</v>
      </c>
      <c r="H26" s="81">
        <f t="shared" si="12"/>
        <v>1250000</v>
      </c>
      <c r="I26" s="81">
        <f>SUM(I27:I32,I36)</f>
        <v>33878000</v>
      </c>
      <c r="J26" s="81">
        <f t="shared" ref="J26:K26" si="13">SUM(J27:J32,J36)</f>
        <v>33878000</v>
      </c>
      <c r="K26" s="81">
        <f t="shared" si="13"/>
        <v>33878000</v>
      </c>
      <c r="L26" s="81">
        <f>SUM(L27:L32,L36,L35)</f>
        <v>102884000</v>
      </c>
      <c r="M26" s="81">
        <f t="shared" ref="M26:P26" si="14">SUM(M27:M32,M36,M35)</f>
        <v>126055789.47368421</v>
      </c>
      <c r="N26" s="81">
        <f t="shared" si="14"/>
        <v>146455789.47368419</v>
      </c>
      <c r="O26" s="81">
        <f t="shared" si="14"/>
        <v>146455789.47368419</v>
      </c>
      <c r="P26" s="81">
        <f t="shared" si="14"/>
        <v>146455789.47368419</v>
      </c>
      <c r="Q26" s="5"/>
      <c r="R26" s="5"/>
      <c r="S26" s="32" t="s">
        <v>97</v>
      </c>
      <c r="T26" s="32">
        <v>1000000</v>
      </c>
      <c r="U26" s="5"/>
      <c r="V26" s="7"/>
      <c r="W26" s="40" t="s">
        <v>73</v>
      </c>
      <c r="X26" s="39">
        <v>2</v>
      </c>
      <c r="Y26" s="41">
        <f>X26*70000</f>
        <v>140000</v>
      </c>
      <c r="Z26" s="12"/>
      <c r="AA26" s="12"/>
      <c r="AB26" s="11"/>
      <c r="AC26" s="11"/>
    </row>
    <row r="27" spans="2:29">
      <c r="B27" s="31" t="s">
        <v>1</v>
      </c>
      <c r="C27" s="31"/>
      <c r="D27" s="31"/>
      <c r="E27" s="31"/>
      <c r="F27" s="31"/>
      <c r="G27" s="31"/>
      <c r="H27" s="31"/>
      <c r="I27" s="31"/>
      <c r="J27" s="31"/>
      <c r="K27" s="31"/>
      <c r="L27" s="32">
        <v>0</v>
      </c>
      <c r="M27" s="32">
        <v>0</v>
      </c>
      <c r="N27" s="32">
        <v>18000000</v>
      </c>
      <c r="O27" s="32">
        <v>18000000</v>
      </c>
      <c r="P27" s="32">
        <v>18000000</v>
      </c>
      <c r="Q27" s="5"/>
      <c r="R27" s="5"/>
      <c r="S27" s="32" t="s">
        <v>98</v>
      </c>
      <c r="T27" s="32">
        <v>4000000</v>
      </c>
      <c r="U27" s="5"/>
      <c r="V27" s="7"/>
      <c r="W27" s="40" t="s">
        <v>62</v>
      </c>
      <c r="X27" s="39">
        <v>1</v>
      </c>
      <c r="Y27" s="41">
        <v>120000</v>
      </c>
      <c r="Z27" s="12"/>
      <c r="AA27" s="12"/>
      <c r="AB27" s="11"/>
      <c r="AC27" s="11"/>
    </row>
    <row r="28" spans="2:29">
      <c r="B28" s="33" t="s">
        <v>2</v>
      </c>
      <c r="C28" s="31"/>
      <c r="D28" s="31"/>
      <c r="E28" s="31"/>
      <c r="F28" s="31"/>
      <c r="G28" s="31"/>
      <c r="H28" s="31"/>
      <c r="I28" s="31">
        <v>3600000</v>
      </c>
      <c r="J28" s="31">
        <v>3600000</v>
      </c>
      <c r="K28" s="31">
        <v>3600000</v>
      </c>
      <c r="L28" s="32">
        <f>SUM(I28:K28)</f>
        <v>10800000</v>
      </c>
      <c r="M28" s="32">
        <f>L28*(M9+M7)/(L7+L9)</f>
        <v>11368421.052631579</v>
      </c>
      <c r="N28" s="32">
        <f>M28*(N9+N7)/(M7+M9)</f>
        <v>11368421.052631579</v>
      </c>
      <c r="O28" s="32">
        <f>N28*(O9+O7)/(N7+N9)</f>
        <v>11368421.052631579</v>
      </c>
      <c r="P28" s="32">
        <f>O28*(P9+P7)/(O7+O9)</f>
        <v>11368421.052631579</v>
      </c>
      <c r="Q28" s="5"/>
      <c r="R28" s="5"/>
      <c r="S28" s="32" t="s">
        <v>99</v>
      </c>
      <c r="T28" s="32">
        <v>6000000</v>
      </c>
      <c r="U28" s="5"/>
      <c r="V28" s="7"/>
      <c r="W28" s="40" t="s">
        <v>74</v>
      </c>
      <c r="X28" s="39">
        <v>4</v>
      </c>
      <c r="Y28" s="41">
        <f>X28*80000</f>
        <v>320000</v>
      </c>
      <c r="Z28" s="12"/>
      <c r="AA28" s="12"/>
      <c r="AB28" s="11"/>
      <c r="AC28" s="11"/>
    </row>
    <row r="29" spans="2:29">
      <c r="B29" s="33" t="s">
        <v>3</v>
      </c>
      <c r="C29" s="31"/>
      <c r="D29" s="31"/>
      <c r="E29" s="31"/>
      <c r="F29" s="31"/>
      <c r="G29" s="31"/>
      <c r="H29" s="31"/>
      <c r="I29" s="31">
        <v>400000</v>
      </c>
      <c r="J29" s="31">
        <v>400000</v>
      </c>
      <c r="K29" s="31">
        <v>400000</v>
      </c>
      <c r="L29" s="32">
        <f>SUM(I29:K29)</f>
        <v>1200000</v>
      </c>
      <c r="M29" s="32">
        <f>L29*2</f>
        <v>2400000</v>
      </c>
      <c r="N29" s="32">
        <v>4800000</v>
      </c>
      <c r="O29" s="32">
        <v>4800000</v>
      </c>
      <c r="P29" s="32">
        <v>4800000</v>
      </c>
      <c r="Q29" s="5"/>
      <c r="R29" s="5"/>
      <c r="S29" s="32" t="s">
        <v>100</v>
      </c>
      <c r="T29" s="32">
        <v>15000000</v>
      </c>
      <c r="U29" s="5"/>
      <c r="V29" s="7"/>
      <c r="W29" s="40" t="s">
        <v>63</v>
      </c>
      <c r="X29" s="39">
        <v>1</v>
      </c>
      <c r="Y29" s="41">
        <v>120000</v>
      </c>
      <c r="Z29" s="12"/>
      <c r="AA29" s="12"/>
      <c r="AB29" s="11"/>
      <c r="AC29" s="11"/>
    </row>
    <row r="30" spans="2:29">
      <c r="B30" s="33" t="s">
        <v>21</v>
      </c>
      <c r="C30" s="31"/>
      <c r="D30" s="31"/>
      <c r="E30" s="31"/>
      <c r="F30" s="31"/>
      <c r="G30" s="31"/>
      <c r="H30" s="31"/>
      <c r="I30" s="31">
        <v>1200000</v>
      </c>
      <c r="J30" s="31">
        <v>1200000</v>
      </c>
      <c r="K30" s="31">
        <v>1200000</v>
      </c>
      <c r="L30" s="32">
        <f>SUM(I30:K30)</f>
        <v>3600000</v>
      </c>
      <c r="M30" s="32">
        <v>5400000</v>
      </c>
      <c r="N30" s="32">
        <v>5400000</v>
      </c>
      <c r="O30" s="32">
        <v>5400000</v>
      </c>
      <c r="P30" s="32">
        <v>5400000</v>
      </c>
      <c r="Q30" s="5"/>
      <c r="R30" s="5"/>
      <c r="S30" s="32" t="s">
        <v>28</v>
      </c>
      <c r="T30" s="32">
        <v>6400000</v>
      </c>
      <c r="U30" s="5"/>
      <c r="V30" s="7"/>
      <c r="W30" s="40" t="s">
        <v>75</v>
      </c>
      <c r="X30" s="39">
        <v>8</v>
      </c>
      <c r="Y30" s="41">
        <f>X30*70000</f>
        <v>560000</v>
      </c>
      <c r="Z30" s="12"/>
      <c r="AA30" s="12"/>
      <c r="AB30" s="11"/>
      <c r="AC30" s="11"/>
    </row>
    <row r="31" spans="2:29">
      <c r="B31" s="33" t="s">
        <v>22</v>
      </c>
      <c r="C31" s="31"/>
      <c r="D31" s="31"/>
      <c r="E31" s="31"/>
      <c r="F31" s="31"/>
      <c r="G31" s="31"/>
      <c r="H31" s="31"/>
      <c r="I31" s="31">
        <v>6000000</v>
      </c>
      <c r="J31" s="31">
        <v>6000000</v>
      </c>
      <c r="K31" s="31">
        <v>6000000</v>
      </c>
      <c r="L31" s="32">
        <f>SUM(I31:K31)</f>
        <v>18000000</v>
      </c>
      <c r="M31" s="32">
        <f>L31/(L7+L9)*(M7+M9)</f>
        <v>18947368.421052631</v>
      </c>
      <c r="N31" s="32">
        <f>M31/(M7+M9)*(N7+N9)</f>
        <v>18947368.421052631</v>
      </c>
      <c r="O31" s="32">
        <f>N31/(N7+N9)*(O7+O9)</f>
        <v>18947368.421052631</v>
      </c>
      <c r="P31" s="32">
        <f>O31/(O7+O9)*(P7+P9)</f>
        <v>18947368.421052631</v>
      </c>
      <c r="Q31" s="5"/>
      <c r="R31" s="5"/>
      <c r="S31" s="32" t="s">
        <v>29</v>
      </c>
      <c r="T31" s="32">
        <v>1000000</v>
      </c>
      <c r="U31" s="5"/>
      <c r="V31" s="7"/>
      <c r="W31" s="40" t="s">
        <v>76</v>
      </c>
      <c r="X31" s="39">
        <v>8</v>
      </c>
      <c r="Y31" s="41">
        <f>X31*60000</f>
        <v>480000</v>
      </c>
      <c r="Z31" s="12"/>
      <c r="AA31" s="12"/>
      <c r="AB31" s="11"/>
      <c r="AC31" s="11"/>
    </row>
    <row r="32" spans="2:29">
      <c r="B32" s="86" t="s">
        <v>142</v>
      </c>
      <c r="C32" s="31"/>
      <c r="D32" s="31"/>
      <c r="E32" s="31"/>
      <c r="F32" s="31"/>
      <c r="G32" s="31"/>
      <c r="H32" s="31"/>
      <c r="I32" s="31">
        <f>SUM(I33:I34)</f>
        <v>3538000.0000000005</v>
      </c>
      <c r="J32" s="31">
        <f t="shared" ref="J32:P32" si="15">SUM(J33:J34)</f>
        <v>3538000.0000000005</v>
      </c>
      <c r="K32" s="31">
        <f t="shared" si="15"/>
        <v>3538000.0000000005</v>
      </c>
      <c r="L32" s="31">
        <f t="shared" si="15"/>
        <v>10614000.000000002</v>
      </c>
      <c r="M32" s="31">
        <f t="shared" si="15"/>
        <v>11380000.000000002</v>
      </c>
      <c r="N32" s="31">
        <f t="shared" si="15"/>
        <v>11380000.000000002</v>
      </c>
      <c r="O32" s="31">
        <f t="shared" si="15"/>
        <v>11380000.000000002</v>
      </c>
      <c r="P32" s="31">
        <f t="shared" si="15"/>
        <v>11380000.000000002</v>
      </c>
      <c r="Q32" s="5"/>
      <c r="R32" s="5"/>
      <c r="S32" s="32" t="s">
        <v>30</v>
      </c>
      <c r="T32" s="32">
        <v>3200000</v>
      </c>
      <c r="U32" s="5"/>
      <c r="V32" s="7"/>
      <c r="W32" s="40" t="s">
        <v>77</v>
      </c>
      <c r="X32" s="39">
        <v>4</v>
      </c>
      <c r="Y32" s="41">
        <f>X32*70000</f>
        <v>280000</v>
      </c>
      <c r="Z32" s="12"/>
      <c r="AA32" s="12"/>
      <c r="AB32" s="11"/>
      <c r="AC32" s="11"/>
    </row>
    <row r="33" spans="2:29">
      <c r="B33" s="33" t="s">
        <v>140</v>
      </c>
      <c r="C33" s="31"/>
      <c r="D33" s="31"/>
      <c r="E33" s="31"/>
      <c r="F33" s="31"/>
      <c r="G33" s="31"/>
      <c r="H33" s="31"/>
      <c r="I33" s="31">
        <f>4*I9*1.1*7</f>
        <v>3388000.0000000005</v>
      </c>
      <c r="J33" s="31">
        <f t="shared" ref="J33:P33" si="16">4*J9*1.1*7</f>
        <v>3388000.0000000005</v>
      </c>
      <c r="K33" s="31">
        <f t="shared" si="16"/>
        <v>3388000.0000000005</v>
      </c>
      <c r="L33" s="31">
        <f t="shared" si="16"/>
        <v>10164000.000000002</v>
      </c>
      <c r="M33" s="31">
        <f t="shared" si="16"/>
        <v>10780000.000000002</v>
      </c>
      <c r="N33" s="31">
        <f t="shared" si="16"/>
        <v>10780000.000000002</v>
      </c>
      <c r="O33" s="31">
        <f t="shared" si="16"/>
        <v>10780000.000000002</v>
      </c>
      <c r="P33" s="31">
        <f t="shared" si="16"/>
        <v>10780000.000000002</v>
      </c>
      <c r="Q33" s="5"/>
      <c r="R33" s="5"/>
      <c r="S33" s="32"/>
      <c r="T33" s="32"/>
      <c r="U33" s="5"/>
      <c r="V33" s="7"/>
      <c r="W33" s="51"/>
      <c r="X33" s="52"/>
      <c r="Y33" s="53"/>
      <c r="Z33" s="12"/>
      <c r="AA33" s="12"/>
      <c r="AB33" s="11"/>
      <c r="AC33" s="11"/>
    </row>
    <row r="34" spans="2:29">
      <c r="B34" s="33" t="s">
        <v>141</v>
      </c>
      <c r="C34" s="31"/>
      <c r="D34" s="31"/>
      <c r="E34" s="31"/>
      <c r="F34" s="31"/>
      <c r="G34" s="31"/>
      <c r="H34" s="31"/>
      <c r="I34" s="31">
        <v>150000</v>
      </c>
      <c r="J34" s="31">
        <v>150000</v>
      </c>
      <c r="K34" s="31">
        <v>150000</v>
      </c>
      <c r="L34" s="31">
        <f>SUM(I34:K34)</f>
        <v>450000</v>
      </c>
      <c r="M34" s="31">
        <v>600000</v>
      </c>
      <c r="N34" s="31">
        <v>600000</v>
      </c>
      <c r="O34" s="31">
        <v>600000</v>
      </c>
      <c r="P34" s="31">
        <v>600000</v>
      </c>
      <c r="Q34" s="5"/>
      <c r="R34" s="5"/>
      <c r="S34" s="32"/>
      <c r="T34" s="32"/>
      <c r="U34" s="5"/>
      <c r="V34" s="7"/>
      <c r="W34" s="51"/>
      <c r="X34" s="52"/>
      <c r="Y34" s="53"/>
      <c r="Z34" s="12"/>
      <c r="AA34" s="12"/>
      <c r="AB34" s="11"/>
      <c r="AC34" s="11"/>
    </row>
    <row r="35" spans="2:29">
      <c r="B35" s="33" t="s">
        <v>129</v>
      </c>
      <c r="C35" s="31"/>
      <c r="D35" s="31"/>
      <c r="E35" s="31">
        <f>50*E7</f>
        <v>1250000</v>
      </c>
      <c r="F35" s="31">
        <f>50*F7</f>
        <v>1250000</v>
      </c>
      <c r="G35" s="31">
        <f>SUM(E35:F35)</f>
        <v>2500000</v>
      </c>
      <c r="H35" s="31">
        <f>50*H7</f>
        <v>1250000</v>
      </c>
      <c r="I35" s="31"/>
      <c r="J35" s="31"/>
      <c r="K35" s="31"/>
      <c r="L35" s="32">
        <v>1250000</v>
      </c>
      <c r="M35" s="32"/>
      <c r="N35" s="32"/>
      <c r="O35" s="32"/>
      <c r="P35" s="32"/>
      <c r="Q35" s="5"/>
      <c r="R35" s="5"/>
      <c r="S35" s="32"/>
      <c r="T35" s="32"/>
      <c r="U35" s="5"/>
      <c r="V35" s="7"/>
      <c r="W35" s="51"/>
      <c r="X35" s="52"/>
      <c r="Y35" s="53"/>
      <c r="Z35" s="12"/>
      <c r="AA35" s="12"/>
      <c r="AB35" s="11"/>
      <c r="AC35" s="11"/>
    </row>
    <row r="36" spans="2:29">
      <c r="B36" s="33" t="s">
        <v>4</v>
      </c>
      <c r="C36" s="31"/>
      <c r="D36" s="31"/>
      <c r="E36" s="31"/>
      <c r="F36" s="31"/>
      <c r="G36" s="31"/>
      <c r="H36" s="31"/>
      <c r="I36" s="34">
        <f t="shared" ref="I36:K36" si="17">I37+I38</f>
        <v>19140000</v>
      </c>
      <c r="J36" s="34">
        <f t="shared" si="17"/>
        <v>19140000</v>
      </c>
      <c r="K36" s="34">
        <f t="shared" si="17"/>
        <v>19140000</v>
      </c>
      <c r="L36" s="34">
        <f>L37+L38</f>
        <v>57420000</v>
      </c>
      <c r="M36" s="34">
        <f>M37+M38</f>
        <v>76560000</v>
      </c>
      <c r="N36" s="34">
        <f>N37+N38</f>
        <v>76560000</v>
      </c>
      <c r="O36" s="34">
        <f>O37+O38</f>
        <v>76560000</v>
      </c>
      <c r="P36" s="34">
        <f>P37+P38</f>
        <v>76560000</v>
      </c>
      <c r="Q36" s="5"/>
      <c r="R36" s="5"/>
      <c r="S36" s="32" t="s">
        <v>65</v>
      </c>
      <c r="T36" s="32">
        <v>13000000</v>
      </c>
      <c r="U36" s="5"/>
      <c r="V36" s="7"/>
      <c r="W36" s="51" t="s">
        <v>78</v>
      </c>
      <c r="X36" s="52">
        <v>2</v>
      </c>
      <c r="Y36" s="53">
        <f>X36*50000</f>
        <v>100000</v>
      </c>
      <c r="Z36" s="12"/>
      <c r="AA36" s="12"/>
      <c r="AB36" s="11"/>
      <c r="AC36" s="11"/>
    </row>
    <row r="37" spans="2:29">
      <c r="B37" s="35" t="s">
        <v>5</v>
      </c>
      <c r="C37" s="31"/>
      <c r="D37" s="31"/>
      <c r="E37" s="31"/>
      <c r="F37" s="31"/>
      <c r="G37" s="31"/>
      <c r="H37" s="31"/>
      <c r="I37" s="31">
        <v>13200000</v>
      </c>
      <c r="J37" s="31">
        <v>13200000</v>
      </c>
      <c r="K37" s="31">
        <v>13200000</v>
      </c>
      <c r="L37" s="32">
        <f>SUM(I37:K37)</f>
        <v>39600000</v>
      </c>
      <c r="M37" s="32">
        <f>Y37*12</f>
        <v>52800000</v>
      </c>
      <c r="N37" s="32">
        <f>Y37*12</f>
        <v>52800000</v>
      </c>
      <c r="O37" s="32">
        <f t="shared" ref="O37:P37" si="18">M37</f>
        <v>52800000</v>
      </c>
      <c r="P37" s="32">
        <f t="shared" si="18"/>
        <v>52800000</v>
      </c>
      <c r="Q37" s="5"/>
      <c r="R37" s="5"/>
      <c r="S37" s="32" t="s">
        <v>9</v>
      </c>
      <c r="T37" s="32">
        <v>1500000</v>
      </c>
      <c r="U37" s="5"/>
      <c r="V37" s="7"/>
      <c r="W37" s="54" t="s">
        <v>15</v>
      </c>
      <c r="X37" s="55"/>
      <c r="Y37" s="50">
        <f>SUM(Y6:Y36,AC6,AC7,AC8,AC9)</f>
        <v>4400000</v>
      </c>
      <c r="Z37" s="12" t="s">
        <v>19</v>
      </c>
      <c r="AA37" s="12"/>
      <c r="AB37" s="11"/>
      <c r="AC37" s="11"/>
    </row>
    <row r="38" spans="2:29">
      <c r="B38" s="35" t="s">
        <v>6</v>
      </c>
      <c r="C38" s="31"/>
      <c r="D38" s="31"/>
      <c r="E38" s="32"/>
      <c r="F38" s="32"/>
      <c r="G38" s="31"/>
      <c r="H38" s="32">
        <f t="shared" ref="H38:K38" si="19">H37*0.45</f>
        <v>0</v>
      </c>
      <c r="I38" s="32">
        <f t="shared" si="19"/>
        <v>5940000</v>
      </c>
      <c r="J38" s="32">
        <f t="shared" si="19"/>
        <v>5940000</v>
      </c>
      <c r="K38" s="32">
        <f t="shared" si="19"/>
        <v>5940000</v>
      </c>
      <c r="L38" s="32">
        <f>L37*0.45</f>
        <v>17820000</v>
      </c>
      <c r="M38" s="32">
        <f>M37*0.45</f>
        <v>23760000</v>
      </c>
      <c r="N38" s="32">
        <f>N37*0.45</f>
        <v>23760000</v>
      </c>
      <c r="O38" s="32">
        <f>O37*0.45</f>
        <v>23760000</v>
      </c>
      <c r="P38" s="32">
        <f>P37*0.45</f>
        <v>23760000</v>
      </c>
      <c r="Q38" s="5"/>
      <c r="R38" s="5"/>
      <c r="S38" s="32" t="s">
        <v>31</v>
      </c>
      <c r="T38" s="32">
        <v>500000</v>
      </c>
      <c r="U38" s="5"/>
      <c r="V38" s="7"/>
      <c r="W38" s="45" t="s">
        <v>82</v>
      </c>
      <c r="X38" s="46"/>
      <c r="Y38" s="47"/>
      <c r="Z38" s="12"/>
      <c r="AA38" s="12"/>
      <c r="AB38" s="11"/>
      <c r="AC38" s="11"/>
    </row>
    <row r="39" spans="2:29">
      <c r="B39" s="83" t="s">
        <v>7</v>
      </c>
      <c r="C39" s="84"/>
      <c r="D39" s="85">
        <f t="shared" ref="D39:K39" si="20">D41+D44+D47+D40</f>
        <v>0</v>
      </c>
      <c r="E39" s="85">
        <f t="shared" si="20"/>
        <v>1237500</v>
      </c>
      <c r="F39" s="85">
        <f t="shared" si="20"/>
        <v>1237500</v>
      </c>
      <c r="G39" s="85">
        <f t="shared" si="20"/>
        <v>2475000</v>
      </c>
      <c r="H39" s="85">
        <f t="shared" si="20"/>
        <v>1537500</v>
      </c>
      <c r="I39" s="85">
        <f t="shared" si="20"/>
        <v>10401500</v>
      </c>
      <c r="J39" s="85">
        <f t="shared" si="20"/>
        <v>10401500</v>
      </c>
      <c r="K39" s="85">
        <f t="shared" si="20"/>
        <v>10401500</v>
      </c>
      <c r="L39" s="85">
        <f>L41+L44+L47+L40</f>
        <v>32742000</v>
      </c>
      <c r="M39" s="85">
        <f>M41+M44+M47+M40</f>
        <v>37342000</v>
      </c>
      <c r="N39" s="85">
        <f>N41+N44+N47+N40</f>
        <v>37342000</v>
      </c>
      <c r="O39" s="85">
        <f>O41+O44+O47+O40</f>
        <v>37342000</v>
      </c>
      <c r="P39" s="85">
        <f>P41+P44+P47+P40</f>
        <v>37342000</v>
      </c>
      <c r="Q39" s="5"/>
      <c r="R39" s="5"/>
      <c r="S39" s="56" t="s">
        <v>15</v>
      </c>
      <c r="T39" s="57">
        <f>SUM(T7:T38)</f>
        <v>336100000</v>
      </c>
      <c r="U39" s="5"/>
      <c r="V39" s="7"/>
      <c r="W39" s="44" t="s">
        <v>83</v>
      </c>
      <c r="X39" s="31"/>
      <c r="Y39" s="42">
        <v>500000</v>
      </c>
      <c r="Z39" s="12"/>
      <c r="AA39" s="12"/>
      <c r="AB39" s="11"/>
      <c r="AC39" s="11"/>
    </row>
    <row r="40" spans="2:29">
      <c r="B40" s="31" t="s">
        <v>2</v>
      </c>
      <c r="C40" s="31"/>
      <c r="D40" s="31"/>
      <c r="E40" s="31"/>
      <c r="F40" s="31"/>
      <c r="G40" s="31"/>
      <c r="H40" s="31"/>
      <c r="I40" s="31">
        <v>600000</v>
      </c>
      <c r="J40" s="31">
        <v>600000</v>
      </c>
      <c r="K40" s="31">
        <v>600000</v>
      </c>
      <c r="L40" s="32">
        <f>SUM(I40:K40)</f>
        <v>1800000</v>
      </c>
      <c r="M40" s="32">
        <v>2400000</v>
      </c>
      <c r="N40" s="32">
        <v>2400000</v>
      </c>
      <c r="O40" s="32">
        <v>2400000</v>
      </c>
      <c r="P40" s="32">
        <v>2400000</v>
      </c>
      <c r="Q40" s="5"/>
      <c r="R40" s="5"/>
      <c r="S40" s="5"/>
      <c r="T40" s="5"/>
      <c r="U40" s="7"/>
      <c r="V40" s="7"/>
      <c r="W40" s="44" t="s">
        <v>84</v>
      </c>
      <c r="X40" s="31"/>
      <c r="Y40" s="42">
        <v>150000</v>
      </c>
      <c r="Z40" s="12"/>
      <c r="AA40" s="12"/>
      <c r="AB40" s="11"/>
      <c r="AC40" s="11"/>
    </row>
    <row r="41" spans="2:29">
      <c r="B41" s="31" t="s">
        <v>8</v>
      </c>
      <c r="C41" s="31"/>
      <c r="D41" s="31"/>
      <c r="E41" s="34">
        <f t="shared" ref="E41:K41" si="21">E42+E43</f>
        <v>1087500</v>
      </c>
      <c r="F41" s="34">
        <f t="shared" si="21"/>
        <v>1087500</v>
      </c>
      <c r="G41" s="34">
        <f t="shared" si="21"/>
        <v>2175000</v>
      </c>
      <c r="H41" s="34">
        <f t="shared" si="21"/>
        <v>1087500</v>
      </c>
      <c r="I41" s="34">
        <f t="shared" si="21"/>
        <v>7351500</v>
      </c>
      <c r="J41" s="34">
        <f t="shared" si="21"/>
        <v>7351500</v>
      </c>
      <c r="K41" s="34">
        <f t="shared" si="21"/>
        <v>7351500</v>
      </c>
      <c r="L41" s="34">
        <f>L42+L43</f>
        <v>23142000</v>
      </c>
      <c r="M41" s="34">
        <f>M42+M43</f>
        <v>23142000</v>
      </c>
      <c r="N41" s="34">
        <f>N42+N43</f>
        <v>23142000</v>
      </c>
      <c r="O41" s="34">
        <f>O42+O43</f>
        <v>23142000</v>
      </c>
      <c r="P41" s="34">
        <f>P42+P43</f>
        <v>23142000</v>
      </c>
      <c r="Q41" s="5"/>
      <c r="R41" s="5"/>
      <c r="S41" s="5"/>
      <c r="T41" s="5"/>
      <c r="U41" s="7"/>
      <c r="V41" s="7"/>
      <c r="W41" s="44" t="s">
        <v>85</v>
      </c>
      <c r="X41" s="31"/>
      <c r="Y41" s="42">
        <v>70000</v>
      </c>
      <c r="Z41" s="12"/>
      <c r="AA41" s="12"/>
      <c r="AB41" s="11"/>
      <c r="AC41" s="11"/>
    </row>
    <row r="42" spans="2:29">
      <c r="B42" s="35" t="s">
        <v>5</v>
      </c>
      <c r="C42" s="31"/>
      <c r="D42" s="31"/>
      <c r="E42" s="31">
        <v>750000</v>
      </c>
      <c r="F42" s="31">
        <v>750000</v>
      </c>
      <c r="G42" s="31">
        <f>SUM(E42:F42)</f>
        <v>1500000</v>
      </c>
      <c r="H42" s="31">
        <v>750000</v>
      </c>
      <c r="I42" s="31">
        <v>5070000</v>
      </c>
      <c r="J42" s="31">
        <v>5070000</v>
      </c>
      <c r="K42" s="31">
        <v>5070000</v>
      </c>
      <c r="L42" s="32">
        <f>SUM(H42:K42)</f>
        <v>15960000</v>
      </c>
      <c r="M42" s="32">
        <f>L42</f>
        <v>15960000</v>
      </c>
      <c r="N42" s="32">
        <f t="shared" ref="N42:P42" si="22">M42</f>
        <v>15960000</v>
      </c>
      <c r="O42" s="32">
        <f t="shared" si="22"/>
        <v>15960000</v>
      </c>
      <c r="P42" s="32">
        <f t="shared" si="22"/>
        <v>15960000</v>
      </c>
      <c r="Q42" s="5"/>
      <c r="R42" s="5"/>
      <c r="T42" s="5"/>
      <c r="U42" s="7"/>
      <c r="V42" s="7"/>
      <c r="W42" s="44" t="s">
        <v>86</v>
      </c>
      <c r="X42" s="31"/>
      <c r="Y42" s="42">
        <v>300000</v>
      </c>
      <c r="Z42" s="12"/>
      <c r="AA42" s="12"/>
      <c r="AB42" s="11"/>
      <c r="AC42" s="11"/>
    </row>
    <row r="43" spans="2:29">
      <c r="B43" s="35" t="s">
        <v>6</v>
      </c>
      <c r="C43" s="31"/>
      <c r="D43" s="31"/>
      <c r="E43" s="32">
        <f t="shared" ref="E43:H43" si="23">E42*0.45</f>
        <v>337500</v>
      </c>
      <c r="F43" s="32">
        <f t="shared" si="23"/>
        <v>337500</v>
      </c>
      <c r="G43" s="32">
        <f t="shared" si="23"/>
        <v>675000</v>
      </c>
      <c r="H43" s="32">
        <f t="shared" si="23"/>
        <v>337500</v>
      </c>
      <c r="I43" s="32">
        <f t="shared" ref="I43" si="24">I42*0.45</f>
        <v>2281500</v>
      </c>
      <c r="J43" s="32">
        <f t="shared" ref="J43" si="25">J42*0.45</f>
        <v>2281500</v>
      </c>
      <c r="K43" s="32">
        <f t="shared" ref="K43" si="26">K42*0.45</f>
        <v>2281500</v>
      </c>
      <c r="L43" s="32">
        <f>L42*0.45</f>
        <v>7182000</v>
      </c>
      <c r="M43" s="32">
        <f>M42*0.45</f>
        <v>7182000</v>
      </c>
      <c r="N43" s="32">
        <f t="shared" ref="N43:P43" si="27">N42*0.45</f>
        <v>7182000</v>
      </c>
      <c r="O43" s="32">
        <f t="shared" si="27"/>
        <v>7182000</v>
      </c>
      <c r="P43" s="32">
        <f t="shared" si="27"/>
        <v>7182000</v>
      </c>
      <c r="Q43" s="5"/>
      <c r="R43" s="5"/>
      <c r="S43" s="5"/>
      <c r="T43" s="5"/>
      <c r="U43" s="7"/>
      <c r="V43" s="7"/>
      <c r="W43" s="44" t="s">
        <v>87</v>
      </c>
      <c r="X43" s="31"/>
      <c r="Y43" s="42">
        <v>80000</v>
      </c>
      <c r="Z43" s="12"/>
      <c r="AA43" s="12"/>
      <c r="AB43" s="11"/>
      <c r="AC43" s="11"/>
    </row>
    <row r="44" spans="2:29">
      <c r="B44" s="92" t="s">
        <v>93</v>
      </c>
      <c r="C44" s="92"/>
      <c r="D44" s="93">
        <f t="shared" ref="D44:K44" si="28">D45+D46</f>
        <v>0</v>
      </c>
      <c r="E44" s="93">
        <f t="shared" si="28"/>
        <v>150000</v>
      </c>
      <c r="F44" s="93">
        <f t="shared" si="28"/>
        <v>150000</v>
      </c>
      <c r="G44" s="93">
        <f t="shared" si="28"/>
        <v>300000</v>
      </c>
      <c r="H44" s="93">
        <f t="shared" si="28"/>
        <v>450000</v>
      </c>
      <c r="I44" s="93">
        <f t="shared" si="28"/>
        <v>450000</v>
      </c>
      <c r="J44" s="93">
        <f t="shared" si="28"/>
        <v>450000</v>
      </c>
      <c r="K44" s="93">
        <f t="shared" si="28"/>
        <v>450000</v>
      </c>
      <c r="L44" s="93">
        <f>L45+L46</f>
        <v>1800000</v>
      </c>
      <c r="M44" s="93">
        <f>M45+M46</f>
        <v>1800000</v>
      </c>
      <c r="N44" s="93">
        <f>N45+N46</f>
        <v>1800000</v>
      </c>
      <c r="O44" s="93">
        <f>O45+O46</f>
        <v>1800000</v>
      </c>
      <c r="P44" s="93">
        <f>P45+P46</f>
        <v>1800000</v>
      </c>
      <c r="Q44" s="5"/>
      <c r="R44" s="5"/>
      <c r="T44" s="5"/>
      <c r="U44" s="7"/>
      <c r="V44" s="7"/>
      <c r="W44" s="44" t="s">
        <v>88</v>
      </c>
      <c r="X44" s="31"/>
      <c r="Y44" s="42">
        <v>70000</v>
      </c>
      <c r="Z44" s="12"/>
      <c r="AA44" s="12"/>
      <c r="AB44" s="11"/>
      <c r="AC44" s="11"/>
    </row>
    <row r="45" spans="2:29">
      <c r="B45" s="35" t="s">
        <v>9</v>
      </c>
      <c r="C45" s="31"/>
      <c r="D45" s="31"/>
      <c r="E45" s="31">
        <v>150000</v>
      </c>
      <c r="F45" s="31">
        <v>150000</v>
      </c>
      <c r="G45" s="31">
        <f>SUM(E45:F45)</f>
        <v>300000</v>
      </c>
      <c r="H45" s="31">
        <v>150000</v>
      </c>
      <c r="I45" s="31">
        <v>150000</v>
      </c>
      <c r="J45" s="31">
        <v>150000</v>
      </c>
      <c r="K45" s="31">
        <v>150000</v>
      </c>
      <c r="L45" s="32">
        <f>SUM(H45:K45)</f>
        <v>600000</v>
      </c>
      <c r="M45" s="32">
        <f>L45</f>
        <v>600000</v>
      </c>
      <c r="N45" s="32">
        <f t="shared" ref="N45:P45" si="29">M45</f>
        <v>600000</v>
      </c>
      <c r="O45" s="32">
        <f t="shared" si="29"/>
        <v>600000</v>
      </c>
      <c r="P45" s="32">
        <f t="shared" si="29"/>
        <v>600000</v>
      </c>
      <c r="Q45" s="5"/>
      <c r="R45" s="5"/>
      <c r="T45" s="5"/>
      <c r="U45" s="7"/>
      <c r="V45" s="7"/>
      <c r="W45" s="44" t="s">
        <v>89</v>
      </c>
      <c r="X45" s="31"/>
      <c r="Y45" s="42">
        <v>200000</v>
      </c>
      <c r="Z45" s="12"/>
      <c r="AA45" s="12"/>
      <c r="AB45" s="11"/>
      <c r="AC45" s="11"/>
    </row>
    <row r="46" spans="2:29">
      <c r="B46" s="35" t="s">
        <v>10</v>
      </c>
      <c r="C46" s="31"/>
      <c r="D46" s="31"/>
      <c r="E46" s="31"/>
      <c r="F46" s="31"/>
      <c r="G46" s="31"/>
      <c r="H46" s="31">
        <v>300000</v>
      </c>
      <c r="I46" s="31">
        <v>300000</v>
      </c>
      <c r="J46" s="31">
        <v>300000</v>
      </c>
      <c r="K46" s="31">
        <v>300000</v>
      </c>
      <c r="L46" s="32">
        <f>SUM(H46:K46)</f>
        <v>1200000</v>
      </c>
      <c r="M46" s="32">
        <v>1200000</v>
      </c>
      <c r="N46" s="32">
        <f t="shared" ref="N46:P46" si="30">M46</f>
        <v>1200000</v>
      </c>
      <c r="O46" s="32">
        <f t="shared" si="30"/>
        <v>1200000</v>
      </c>
      <c r="P46" s="32">
        <f t="shared" si="30"/>
        <v>1200000</v>
      </c>
      <c r="Q46" s="5"/>
      <c r="R46" s="5"/>
      <c r="T46" s="5"/>
      <c r="U46" s="7"/>
      <c r="V46" s="7"/>
      <c r="W46" s="44" t="s">
        <v>90</v>
      </c>
      <c r="X46" s="31"/>
      <c r="Y46" s="42">
        <v>70000</v>
      </c>
      <c r="Z46" s="12"/>
      <c r="AA46" s="12"/>
      <c r="AB46" s="11"/>
      <c r="AC46" s="11"/>
    </row>
    <row r="47" spans="2:29">
      <c r="B47" s="90" t="s">
        <v>11</v>
      </c>
      <c r="C47" s="91"/>
      <c r="D47" s="91"/>
      <c r="E47" s="91"/>
      <c r="F47" s="91"/>
      <c r="G47" s="91"/>
      <c r="H47" s="91"/>
      <c r="I47" s="91">
        <v>2000000</v>
      </c>
      <c r="J47" s="91">
        <v>2000000</v>
      </c>
      <c r="K47" s="91">
        <v>2000000</v>
      </c>
      <c r="L47" s="100">
        <f>SUM(H47:K47)</f>
        <v>6000000</v>
      </c>
      <c r="M47" s="91">
        <v>10000000</v>
      </c>
      <c r="N47" s="91">
        <v>10000000</v>
      </c>
      <c r="O47" s="91">
        <v>10000000</v>
      </c>
      <c r="P47" s="91">
        <v>10000000</v>
      </c>
      <c r="Q47" s="5"/>
      <c r="R47" s="5"/>
      <c r="T47" s="5"/>
      <c r="U47" s="7"/>
      <c r="V47" s="7"/>
      <c r="W47" s="44" t="s">
        <v>91</v>
      </c>
      <c r="X47" s="31"/>
      <c r="Y47" s="42">
        <v>100000</v>
      </c>
      <c r="Z47" s="12"/>
      <c r="AA47" s="12"/>
      <c r="AB47" s="11"/>
      <c r="AC47" s="11"/>
    </row>
    <row r="48" spans="2:29">
      <c r="B48" s="31" t="s">
        <v>12</v>
      </c>
      <c r="C48" s="31"/>
      <c r="D48" s="31"/>
      <c r="E48" s="34">
        <f>E5-E12</f>
        <v>9512500</v>
      </c>
      <c r="F48" s="34">
        <f>F5-F12</f>
        <v>5512500</v>
      </c>
      <c r="G48" s="34">
        <f>G5-G12</f>
        <v>15025000</v>
      </c>
      <c r="H48" s="34">
        <f t="shared" ref="H48:P48" si="31">H6-H12</f>
        <v>712500</v>
      </c>
      <c r="I48" s="34">
        <f t="shared" si="31"/>
        <v>51220500</v>
      </c>
      <c r="J48" s="34">
        <f t="shared" si="31"/>
        <v>51020500</v>
      </c>
      <c r="K48" s="34">
        <f t="shared" si="31"/>
        <v>58620500</v>
      </c>
      <c r="L48" s="34">
        <f t="shared" si="31"/>
        <v>159574000</v>
      </c>
      <c r="M48" s="34">
        <f t="shared" si="31"/>
        <v>179102210.52631581</v>
      </c>
      <c r="N48" s="34">
        <f t="shared" si="31"/>
        <v>158702210.52631581</v>
      </c>
      <c r="O48" s="34">
        <f t="shared" si="31"/>
        <v>158702210.52631581</v>
      </c>
      <c r="P48" s="34">
        <f t="shared" si="31"/>
        <v>158702210.52631581</v>
      </c>
      <c r="Q48" s="5"/>
      <c r="R48" s="5"/>
      <c r="T48" s="5"/>
      <c r="U48" s="7"/>
      <c r="V48" s="7"/>
      <c r="W48" s="44" t="s">
        <v>92</v>
      </c>
      <c r="X48" s="31"/>
      <c r="Y48" s="42">
        <v>150000</v>
      </c>
      <c r="Z48" s="12"/>
      <c r="AA48" s="12"/>
      <c r="AB48" s="11"/>
      <c r="AC48" s="11"/>
    </row>
    <row r="49" spans="2:29">
      <c r="B49" s="36" t="s">
        <v>13</v>
      </c>
      <c r="C49" s="31"/>
      <c r="D49" s="31"/>
      <c r="E49" s="31"/>
      <c r="F49" s="31"/>
      <c r="G49" s="31"/>
      <c r="H49" s="31"/>
      <c r="I49" s="31"/>
      <c r="J49" s="31"/>
      <c r="K49" s="31"/>
      <c r="L49" s="34"/>
      <c r="M49" s="34"/>
      <c r="N49" s="34"/>
      <c r="O49" s="34"/>
      <c r="P49" s="34"/>
      <c r="Q49" s="5"/>
      <c r="R49" s="5"/>
      <c r="T49" s="5"/>
      <c r="U49" s="7"/>
      <c r="V49" s="7"/>
      <c r="W49" s="48" t="s">
        <v>15</v>
      </c>
      <c r="X49" s="49"/>
      <c r="Y49" s="50">
        <f>SUM(Y39:Y48)</f>
        <v>1690000</v>
      </c>
      <c r="Z49" s="12"/>
      <c r="AA49" s="12"/>
      <c r="AB49" s="11"/>
      <c r="AC49" s="11"/>
    </row>
    <row r="50" spans="2:29">
      <c r="B50" s="36" t="s">
        <v>60</v>
      </c>
      <c r="C50" s="31"/>
      <c r="D50" s="31"/>
      <c r="E50" s="31"/>
      <c r="F50" s="31"/>
      <c r="G50" s="31"/>
      <c r="H50" s="31"/>
      <c r="I50" s="31">
        <v>18000000</v>
      </c>
      <c r="J50" s="31">
        <v>18000000</v>
      </c>
      <c r="K50" s="31">
        <v>18000000</v>
      </c>
      <c r="L50" s="34">
        <f>SUM(I50:K50)</f>
        <v>54000000</v>
      </c>
      <c r="M50" s="34">
        <v>0</v>
      </c>
      <c r="N50" s="34">
        <v>0</v>
      </c>
      <c r="O50" s="34">
        <v>0</v>
      </c>
      <c r="P50" s="34">
        <v>0</v>
      </c>
      <c r="Q50" s="5"/>
      <c r="R50" s="5"/>
      <c r="S50" s="5"/>
      <c r="T50" s="5"/>
      <c r="U50" s="7"/>
      <c r="V50" s="7"/>
      <c r="W50" s="7"/>
      <c r="Y50" s="12"/>
      <c r="Z50" s="12"/>
      <c r="AA50" s="12"/>
      <c r="AB50" s="11"/>
      <c r="AC50" s="11"/>
    </row>
    <row r="51" spans="2:29">
      <c r="B51" s="36" t="s">
        <v>133</v>
      </c>
      <c r="C51" s="31"/>
      <c r="D51" s="31"/>
      <c r="E51" s="31">
        <v>15000000</v>
      </c>
      <c r="F51" s="31"/>
      <c r="G51" s="31">
        <f>SUM(D51:F51)</f>
        <v>15000000</v>
      </c>
      <c r="H51" s="31"/>
      <c r="I51" s="31"/>
      <c r="J51" s="31"/>
      <c r="K51" s="31"/>
      <c r="L51" s="34"/>
      <c r="M51" s="34"/>
      <c r="N51" s="34"/>
      <c r="O51" s="34"/>
      <c r="P51" s="34"/>
      <c r="Q51" s="5"/>
      <c r="R51" s="5"/>
      <c r="S51" s="5"/>
      <c r="T51" s="5"/>
      <c r="U51" s="7"/>
      <c r="V51" s="7"/>
      <c r="W51" s="7"/>
      <c r="Y51" s="12"/>
      <c r="Z51" s="12"/>
      <c r="AA51" s="12"/>
      <c r="AB51" s="11"/>
      <c r="AC51" s="11"/>
    </row>
    <row r="52" spans="2:29">
      <c r="B52" s="31" t="s">
        <v>14</v>
      </c>
      <c r="C52" s="31"/>
      <c r="D52" s="31"/>
      <c r="E52" s="31"/>
      <c r="F52" s="31"/>
      <c r="G52" s="31"/>
      <c r="H52" s="31"/>
      <c r="I52" s="31">
        <v>12091000</v>
      </c>
      <c r="J52" s="31">
        <f>(L62-I53)*0.17/4</f>
        <v>11478825</v>
      </c>
      <c r="K52" s="31">
        <f>(L62-I53-J53)*0.17/4</f>
        <v>10866400</v>
      </c>
      <c r="L52" s="34">
        <f>SUM(I52:K52)</f>
        <v>34436225</v>
      </c>
      <c r="M52" s="34">
        <f>(L62-L53)*0.17</f>
        <v>41015900</v>
      </c>
      <c r="N52" s="34">
        <f>(U12-M53-L53)*0.17</f>
        <v>31217100.000000004</v>
      </c>
      <c r="O52" s="34">
        <f>(U12-L53-M53-N53)*0.17</f>
        <v>21418300</v>
      </c>
      <c r="P52" s="34">
        <f>(U12-P53*4)*0.17</f>
        <v>9169800</v>
      </c>
      <c r="Q52" s="5"/>
      <c r="R52" s="5"/>
      <c r="S52" s="5"/>
      <c r="T52" s="5"/>
      <c r="U52" s="7"/>
      <c r="V52" s="7"/>
      <c r="W52" s="7"/>
      <c r="Y52" s="12"/>
      <c r="Z52" s="12"/>
      <c r="AA52" s="12"/>
      <c r="AB52" s="11"/>
      <c r="AC52" s="11"/>
    </row>
    <row r="53" spans="2:29">
      <c r="B53" s="31" t="s">
        <v>59</v>
      </c>
      <c r="C53" s="31"/>
      <c r="D53" s="31"/>
      <c r="E53" s="31"/>
      <c r="F53" s="31"/>
      <c r="G53" s="31"/>
      <c r="H53" s="31"/>
      <c r="I53" s="31">
        <v>14410000</v>
      </c>
      <c r="J53" s="31">
        <v>14410000</v>
      </c>
      <c r="K53" s="31">
        <v>14410000</v>
      </c>
      <c r="L53" s="34">
        <f>SUM(I53:K53)</f>
        <v>43230000</v>
      </c>
      <c r="M53" s="34">
        <v>57640000</v>
      </c>
      <c r="N53" s="34">
        <f>M53</f>
        <v>57640000</v>
      </c>
      <c r="O53" s="34">
        <f t="shared" ref="O53:P53" si="32">N53</f>
        <v>57640000</v>
      </c>
      <c r="P53" s="34">
        <f t="shared" si="32"/>
        <v>57640000</v>
      </c>
      <c r="Q53" s="5"/>
      <c r="R53" s="5"/>
      <c r="S53" s="5"/>
      <c r="T53" s="5"/>
      <c r="U53" s="7"/>
      <c r="V53" s="7"/>
      <c r="W53" s="7"/>
      <c r="Y53" s="12"/>
      <c r="Z53" s="12"/>
      <c r="AA53" s="12"/>
      <c r="AB53" s="11"/>
      <c r="AC53" s="11"/>
    </row>
    <row r="54" spans="2:29">
      <c r="B54" s="36"/>
      <c r="C54" s="31"/>
      <c r="D54" s="31"/>
      <c r="E54" s="31"/>
      <c r="F54" s="31"/>
      <c r="G54" s="31"/>
      <c r="H54" s="31"/>
      <c r="I54" s="31"/>
      <c r="J54" s="31"/>
      <c r="K54" s="31"/>
      <c r="L54" s="34"/>
      <c r="M54" s="34"/>
      <c r="N54" s="34"/>
      <c r="O54" s="34"/>
      <c r="P54" s="34"/>
      <c r="Q54" s="5"/>
      <c r="R54" s="5"/>
      <c r="S54" s="5"/>
      <c r="T54" s="5"/>
      <c r="U54" s="7"/>
      <c r="V54" s="7"/>
      <c r="W54" s="7"/>
      <c r="Y54" s="12"/>
      <c r="Z54" s="12"/>
      <c r="AA54" s="12"/>
      <c r="AB54" s="11"/>
      <c r="AC54" s="11"/>
    </row>
    <row r="55" spans="2:29">
      <c r="B55" s="37" t="s">
        <v>66</v>
      </c>
      <c r="C55" s="31"/>
      <c r="D55" s="31"/>
      <c r="E55" s="31">
        <f t="shared" ref="E55:G55" si="33">D6*1.1*0.05</f>
        <v>0</v>
      </c>
      <c r="F55" s="31">
        <f t="shared" si="33"/>
        <v>495000</v>
      </c>
      <c r="G55" s="31">
        <f t="shared" si="33"/>
        <v>495000</v>
      </c>
      <c r="H55" s="31">
        <f>H6*1.1*0.05</f>
        <v>495000</v>
      </c>
      <c r="I55" s="31">
        <f t="shared" ref="I55:K55" si="34">I6*1.1*0.05</f>
        <v>5934500.0000000009</v>
      </c>
      <c r="J55" s="31">
        <f t="shared" si="34"/>
        <v>5934500.0000000009</v>
      </c>
      <c r="K55" s="31">
        <f t="shared" si="34"/>
        <v>5934500.0000000009</v>
      </c>
      <c r="L55" s="31">
        <f>L6*1.1*0.05</f>
        <v>18298500</v>
      </c>
      <c r="M55" s="31">
        <f>M6*1.1*0.05</f>
        <v>18837500.000000004</v>
      </c>
      <c r="N55" s="31">
        <f t="shared" ref="N55:P55" si="35">N6*1.1*0.05</f>
        <v>18837500.000000004</v>
      </c>
      <c r="O55" s="31">
        <f t="shared" si="35"/>
        <v>18837500.000000004</v>
      </c>
      <c r="P55" s="31">
        <f t="shared" si="35"/>
        <v>18837500.000000004</v>
      </c>
      <c r="Q55" s="5"/>
      <c r="R55" s="5"/>
      <c r="S55" s="5"/>
      <c r="T55" s="5"/>
      <c r="U55" s="7"/>
      <c r="V55" s="7"/>
      <c r="W55" s="7"/>
      <c r="Y55" s="11"/>
      <c r="Z55" s="11"/>
      <c r="AA55" s="11"/>
      <c r="AB55" s="11"/>
      <c r="AC55" s="11"/>
    </row>
    <row r="56" spans="2:29" ht="15.6">
      <c r="B56" s="58" t="s">
        <v>15</v>
      </c>
      <c r="C56" s="59"/>
      <c r="D56" s="60">
        <f t="shared" ref="D56" si="36">D48-D50-D52-D53-D54-D55</f>
        <v>0</v>
      </c>
      <c r="E56" s="60">
        <f>E48-E50-E52-E53-E54-E55-E51</f>
        <v>-5487500</v>
      </c>
      <c r="F56" s="60">
        <f t="shared" ref="F56:G56" si="37">F48-F50-F52-F53-F54-F55-F51</f>
        <v>5017500</v>
      </c>
      <c r="G56" s="60">
        <f t="shared" si="37"/>
        <v>-470000</v>
      </c>
      <c r="H56" s="60">
        <f>H48-H50-H52-H53-H54-H55</f>
        <v>217500</v>
      </c>
      <c r="I56" s="60">
        <f>I48-I50-I52-I53-I54-I55</f>
        <v>784999.99999999907</v>
      </c>
      <c r="J56" s="60">
        <f>J48-J50-J52-J53-J54-J55</f>
        <v>1197174.9999999991</v>
      </c>
      <c r="K56" s="60">
        <f t="shared" ref="K56:L56" si="38">K48-K50-K52-K53-K54-K55</f>
        <v>9409600</v>
      </c>
      <c r="L56" s="60">
        <f t="shared" si="38"/>
        <v>9609275</v>
      </c>
      <c r="M56" s="60">
        <f t="shared" ref="M56:P56" si="39">M48-M50-M52-M53-M54-M55</f>
        <v>61608810.526315808</v>
      </c>
      <c r="N56" s="60">
        <f t="shared" si="39"/>
        <v>51007610.526315808</v>
      </c>
      <c r="O56" s="60">
        <f t="shared" si="39"/>
        <v>60806410.526315808</v>
      </c>
      <c r="P56" s="60">
        <f t="shared" si="39"/>
        <v>73054910.526315808</v>
      </c>
      <c r="Q56" s="5"/>
      <c r="R56" s="5"/>
      <c r="S56" s="5"/>
      <c r="T56" s="5"/>
      <c r="U56" s="7"/>
      <c r="V56" s="7"/>
      <c r="W56" s="7"/>
      <c r="Y56" s="11"/>
      <c r="Z56" s="11"/>
      <c r="AA56" s="11"/>
      <c r="AB56" s="11"/>
      <c r="AC56" s="11"/>
    </row>
    <row r="57" spans="2:29">
      <c r="B57" s="31" t="s">
        <v>32</v>
      </c>
      <c r="C57" s="31"/>
      <c r="D57" s="31"/>
      <c r="E57" s="31"/>
      <c r="F57" s="31"/>
      <c r="G57" s="31"/>
      <c r="H57" s="31"/>
      <c r="I57" s="31"/>
      <c r="J57" s="31"/>
      <c r="K57" s="31"/>
      <c r="L57" s="32">
        <f>IF(L56&gt; 0, L56*0.2, 0)</f>
        <v>1921855</v>
      </c>
      <c r="M57" s="32">
        <f t="shared" ref="M57:P57" si="40">IF(M56&gt; 0, M56*0.2, 0)</f>
        <v>12321762.105263162</v>
      </c>
      <c r="N57" s="32">
        <f t="shared" si="40"/>
        <v>10201522.105263162</v>
      </c>
      <c r="O57" s="32">
        <f t="shared" si="40"/>
        <v>12161282.105263162</v>
      </c>
      <c r="P57" s="32">
        <f t="shared" si="40"/>
        <v>14610982.105263162</v>
      </c>
      <c r="Q57" s="5"/>
      <c r="R57" s="5"/>
      <c r="S57" s="5"/>
      <c r="T57" s="5"/>
      <c r="U57" s="7"/>
      <c r="V57" s="7"/>
      <c r="W57" s="7"/>
      <c r="Y57" s="11"/>
      <c r="Z57" s="11"/>
      <c r="AA57" s="11"/>
      <c r="AB57" s="11"/>
      <c r="AC57" s="11"/>
    </row>
    <row r="58" spans="2:29" ht="15.6">
      <c r="B58" s="61" t="s">
        <v>33</v>
      </c>
      <c r="C58" s="61"/>
      <c r="D58" s="61"/>
      <c r="E58" s="61"/>
      <c r="F58" s="61"/>
      <c r="G58" s="61"/>
      <c r="H58" s="61"/>
      <c r="I58" s="61"/>
      <c r="J58" s="61"/>
      <c r="K58" s="61"/>
      <c r="L58" s="62">
        <f>L56-L57</f>
        <v>7687420</v>
      </c>
      <c r="M58" s="62">
        <f>M56-M57</f>
        <v>49287048.42105265</v>
      </c>
      <c r="N58" s="62">
        <f>N56-N57</f>
        <v>40806088.42105265</v>
      </c>
      <c r="O58" s="62">
        <f>O56-O57</f>
        <v>48645128.42105265</v>
      </c>
      <c r="P58" s="62">
        <f>P56-P57</f>
        <v>58443928.42105265</v>
      </c>
      <c r="Q58" s="5"/>
      <c r="R58" s="5"/>
      <c r="S58" s="5"/>
      <c r="T58" s="5"/>
      <c r="U58" s="7"/>
      <c r="V58" s="7"/>
      <c r="W58" s="7"/>
      <c r="Y58" s="11"/>
      <c r="Z58" s="11"/>
      <c r="AA58" s="11"/>
      <c r="AB58" s="11"/>
      <c r="AC58" s="11"/>
    </row>
    <row r="59" spans="2:29">
      <c r="L59" s="5"/>
      <c r="M59" s="5"/>
      <c r="N59" s="5"/>
      <c r="O59" s="5"/>
      <c r="P59" s="5"/>
      <c r="Q59" s="5"/>
      <c r="R59" s="5"/>
      <c r="S59" s="5"/>
      <c r="T59" s="5"/>
      <c r="U59" s="7"/>
      <c r="V59" s="7"/>
      <c r="W59" s="7"/>
      <c r="Y59" s="11"/>
      <c r="Z59" s="11"/>
      <c r="AA59" s="11"/>
      <c r="AB59" s="11"/>
      <c r="AC59" s="11"/>
    </row>
    <row r="60" spans="2:29">
      <c r="B60" s="4" t="s">
        <v>16</v>
      </c>
      <c r="L60" s="6">
        <f>T39</f>
        <v>336100000</v>
      </c>
      <c r="M60" s="6"/>
      <c r="N60" s="6"/>
      <c r="O60" s="6"/>
      <c r="P60" s="6"/>
      <c r="Q60" s="5"/>
      <c r="R60" s="5"/>
      <c r="S60" s="5"/>
      <c r="T60" s="5"/>
      <c r="U60" s="7"/>
      <c r="V60" s="7"/>
      <c r="W60" s="7"/>
      <c r="Y60" s="11"/>
      <c r="Z60" s="11"/>
      <c r="AA60" s="11"/>
      <c r="AB60" s="11"/>
      <c r="AC60" s="11"/>
    </row>
    <row r="61" spans="2:29">
      <c r="B61" s="13" t="s">
        <v>61</v>
      </c>
      <c r="L61" s="6"/>
      <c r="M61" s="6"/>
      <c r="N61" s="6"/>
      <c r="O61" s="6"/>
      <c r="P61" s="6"/>
      <c r="Q61" s="5"/>
      <c r="R61" s="5"/>
      <c r="S61" s="5"/>
      <c r="T61" s="5"/>
      <c r="U61" s="7"/>
      <c r="V61" s="7"/>
      <c r="W61" s="7"/>
      <c r="Y61" s="11"/>
      <c r="Z61" s="11"/>
      <c r="AA61" s="11"/>
      <c r="AB61" s="11"/>
      <c r="AC61" s="11"/>
    </row>
    <row r="62" spans="2:29">
      <c r="B62" s="8" t="s">
        <v>17</v>
      </c>
      <c r="L62" s="5">
        <v>284500000</v>
      </c>
      <c r="M62" s="5"/>
      <c r="N62" s="5"/>
      <c r="O62" s="5"/>
      <c r="P62" s="5"/>
      <c r="Q62" s="5"/>
      <c r="R62" s="5"/>
      <c r="S62" s="5"/>
      <c r="T62" s="5"/>
      <c r="U62" s="7"/>
      <c r="V62" s="7"/>
      <c r="W62" s="7"/>
      <c r="Y62" s="11"/>
      <c r="Z62" s="11"/>
      <c r="AA62" s="11"/>
      <c r="AB62" s="11"/>
      <c r="AC62" s="11"/>
    </row>
    <row r="63" spans="2:29">
      <c r="B63" s="8" t="s">
        <v>18</v>
      </c>
      <c r="L63" s="5">
        <f>SUM(T28:T36)</f>
        <v>44600000</v>
      </c>
      <c r="M63" s="5"/>
      <c r="N63" s="5"/>
      <c r="O63" s="5"/>
      <c r="P63" s="5"/>
      <c r="Q63" s="5"/>
      <c r="R63" s="5"/>
      <c r="S63" s="5"/>
      <c r="T63" s="5"/>
      <c r="U63" s="7"/>
      <c r="V63" s="7"/>
      <c r="W63" s="7"/>
      <c r="Y63" s="11"/>
      <c r="Z63" s="11"/>
      <c r="AA63" s="11"/>
      <c r="AB63" s="11"/>
      <c r="AC63" s="11"/>
    </row>
    <row r="64" spans="2:29">
      <c r="B64" s="8" t="s">
        <v>20</v>
      </c>
      <c r="L64" s="5">
        <f>T38+T37</f>
        <v>2000000</v>
      </c>
      <c r="M64" s="5"/>
      <c r="N64" s="5"/>
      <c r="O64" s="5"/>
      <c r="P64" s="5"/>
      <c r="Q64" s="5"/>
      <c r="R64" s="5"/>
      <c r="S64" s="5"/>
      <c r="T64" s="5"/>
      <c r="U64" s="7"/>
      <c r="V64" s="7"/>
      <c r="W64" s="7"/>
      <c r="Y64" s="11"/>
      <c r="Z64" s="11"/>
      <c r="AA64" s="11"/>
      <c r="AB64" s="11"/>
      <c r="AC64" s="11"/>
    </row>
    <row r="65" spans="1:29">
      <c r="L65" s="7"/>
      <c r="M65" s="7"/>
      <c r="N65" s="7"/>
      <c r="O65" s="7"/>
      <c r="P65" s="7"/>
      <c r="Q65" s="5"/>
      <c r="R65" s="5"/>
      <c r="S65" s="5"/>
      <c r="T65" s="5"/>
      <c r="U65" s="7"/>
      <c r="V65" s="7"/>
      <c r="W65" s="7"/>
      <c r="Y65" s="11"/>
      <c r="Z65" s="11"/>
      <c r="AA65" s="11"/>
      <c r="AB65" s="11"/>
      <c r="AC65" s="11"/>
    </row>
    <row r="66" spans="1:29" ht="41.4">
      <c r="B66" s="27" t="s">
        <v>135</v>
      </c>
      <c r="L66" s="7"/>
      <c r="M66" s="7"/>
      <c r="N66" s="7"/>
      <c r="O66" s="7"/>
      <c r="P66" s="7"/>
      <c r="Q66" s="5"/>
      <c r="R66" s="5"/>
      <c r="S66" s="5"/>
      <c r="T66" s="7"/>
      <c r="U66" s="7"/>
      <c r="V66" s="7"/>
      <c r="W66" s="7"/>
    </row>
    <row r="67" spans="1:29">
      <c r="L67" s="7"/>
      <c r="M67" s="7"/>
      <c r="N67" s="7"/>
      <c r="O67" s="7"/>
      <c r="P67" s="7"/>
      <c r="Q67" s="5"/>
      <c r="R67" s="5"/>
      <c r="S67" s="5"/>
      <c r="T67" s="7"/>
      <c r="U67" s="7"/>
      <c r="V67" s="7"/>
      <c r="W67" s="7"/>
    </row>
    <row r="68" spans="1:29">
      <c r="B68" s="2" t="s">
        <v>144</v>
      </c>
      <c r="L68" s="7"/>
      <c r="M68" s="7"/>
      <c r="N68" s="7"/>
      <c r="O68" s="7"/>
      <c r="P68" s="7"/>
      <c r="Q68" s="7"/>
      <c r="R68" s="7"/>
      <c r="S68" s="5"/>
      <c r="T68" s="7"/>
      <c r="U68" s="7"/>
      <c r="V68" s="7"/>
      <c r="W68" s="7"/>
    </row>
    <row r="69" spans="1:29">
      <c r="Q69" s="7"/>
      <c r="R69" s="7"/>
      <c r="S69" s="7"/>
      <c r="T69" s="7"/>
      <c r="U69" s="7"/>
      <c r="V69" s="7"/>
      <c r="W69" s="7"/>
    </row>
    <row r="70" spans="1:29">
      <c r="B70" s="2" t="s">
        <v>102</v>
      </c>
      <c r="Q70" s="7"/>
      <c r="R70" s="7"/>
      <c r="S70" s="7"/>
      <c r="T70" s="7"/>
    </row>
    <row r="71" spans="1:29">
      <c r="B71" s="2" t="s">
        <v>101</v>
      </c>
      <c r="Q71" s="7"/>
      <c r="R71" s="7"/>
      <c r="S71" s="7"/>
    </row>
    <row r="72" spans="1:29">
      <c r="Q72" s="7"/>
      <c r="R72" s="7"/>
      <c r="S72" s="7"/>
    </row>
    <row r="73" spans="1:29">
      <c r="B73" s="2" t="s">
        <v>146</v>
      </c>
      <c r="S73" s="7"/>
    </row>
    <row r="74" spans="1:29">
      <c r="B74" s="9"/>
      <c r="C74" s="10"/>
      <c r="D74" s="10"/>
      <c r="E74" s="10"/>
      <c r="F74" s="10"/>
      <c r="G74" s="10"/>
      <c r="H74" s="10"/>
      <c r="I74" s="10"/>
      <c r="J74" s="10"/>
      <c r="K74" s="10"/>
    </row>
    <row r="75" spans="1:29">
      <c r="B75" s="2" t="s">
        <v>143</v>
      </c>
    </row>
    <row r="79" spans="1:29">
      <c r="A79" s="9"/>
    </row>
  </sheetData>
  <mergeCells count="2">
    <mergeCell ref="H3:L3"/>
    <mergeCell ref="D3:G3"/>
  </mergeCells>
  <pageMargins left="0.25" right="0.25" top="0.75" bottom="0.75" header="0.3" footer="0.3"/>
  <pageSetup paperSize="9" scale="2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3"/>
  <sheetViews>
    <sheetView tabSelected="1" topLeftCell="B1" workbookViewId="0">
      <selection activeCell="E35" sqref="E35"/>
    </sheetView>
  </sheetViews>
  <sheetFormatPr defaultRowHeight="14.4"/>
  <cols>
    <col min="2" max="2" width="27.77734375" customWidth="1"/>
    <col min="3" max="3" width="14.6640625" customWidth="1"/>
    <col min="4" max="4" width="14.33203125" customWidth="1"/>
    <col min="5" max="5" width="14.88671875" customWidth="1"/>
    <col min="6" max="6" width="11.6640625" customWidth="1"/>
    <col min="7" max="7" width="13.21875" customWidth="1"/>
    <col min="8" max="8" width="13" customWidth="1"/>
    <col min="9" max="10" width="14.109375" customWidth="1"/>
    <col min="11" max="11" width="12.44140625" customWidth="1"/>
    <col min="12" max="12" width="13.21875" customWidth="1"/>
    <col min="13" max="13" width="14.21875" customWidth="1"/>
    <col min="14" max="14" width="13.88671875" customWidth="1"/>
    <col min="15" max="15" width="14.21875" customWidth="1"/>
    <col min="16" max="16" width="15.109375" customWidth="1"/>
    <col min="19" max="19" width="23.21875" customWidth="1"/>
    <col min="20" max="20" width="20.77734375" customWidth="1"/>
    <col min="21" max="21" width="13.77734375" customWidth="1"/>
    <col min="23" max="23" width="26.109375" customWidth="1"/>
    <col min="25" max="25" width="14.6640625" customWidth="1"/>
  </cols>
  <sheetData>
    <row r="1" spans="1:31" ht="15.6">
      <c r="A1" s="2"/>
      <c r="B1" s="3" t="s">
        <v>34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5.6">
      <c r="A3" s="1" t="s">
        <v>25</v>
      </c>
      <c r="B3" s="1" t="s">
        <v>23</v>
      </c>
      <c r="C3" s="1" t="s">
        <v>24</v>
      </c>
      <c r="D3" s="107">
        <v>2024</v>
      </c>
      <c r="E3" s="108"/>
      <c r="F3" s="108"/>
      <c r="G3" s="109"/>
      <c r="H3" s="107">
        <v>2025</v>
      </c>
      <c r="I3" s="108"/>
      <c r="J3" s="108"/>
      <c r="K3" s="108"/>
      <c r="L3" s="109"/>
      <c r="M3" s="1">
        <v>2026</v>
      </c>
      <c r="N3" s="1">
        <v>2027</v>
      </c>
      <c r="O3" s="1">
        <v>2028</v>
      </c>
      <c r="P3" s="1">
        <v>2029</v>
      </c>
      <c r="Q3" s="3"/>
      <c r="R3" s="3"/>
      <c r="S3" s="36" t="s">
        <v>27</v>
      </c>
      <c r="T3" s="31"/>
      <c r="U3" s="2"/>
      <c r="V3" s="2"/>
      <c r="W3" s="28" t="s">
        <v>26</v>
      </c>
      <c r="X3" s="38"/>
      <c r="Y3" s="38"/>
      <c r="Z3" s="2"/>
      <c r="AA3" s="2"/>
      <c r="AB3" s="2"/>
      <c r="AC3" s="2"/>
      <c r="AD3" s="2"/>
      <c r="AE3" s="2"/>
    </row>
    <row r="4" spans="1:31" ht="15.6">
      <c r="A4" s="14"/>
      <c r="B4" s="2"/>
      <c r="C4" s="14"/>
      <c r="D4" s="14" t="s">
        <v>119</v>
      </c>
      <c r="E4" s="14" t="s">
        <v>120</v>
      </c>
      <c r="F4" s="14" t="s">
        <v>121</v>
      </c>
      <c r="G4" s="14"/>
      <c r="H4" s="14" t="s">
        <v>118</v>
      </c>
      <c r="I4" s="14" t="s">
        <v>119</v>
      </c>
      <c r="J4" s="14" t="s">
        <v>122</v>
      </c>
      <c r="K4" s="14" t="s">
        <v>123</v>
      </c>
      <c r="L4" s="15"/>
      <c r="M4" s="14"/>
      <c r="N4" s="14"/>
      <c r="O4" s="14"/>
      <c r="P4" s="14"/>
      <c r="Q4" s="3"/>
      <c r="R4" s="3"/>
      <c r="S4" s="31"/>
      <c r="T4" s="31"/>
      <c r="U4" s="2"/>
      <c r="V4" s="2"/>
      <c r="W4" s="38"/>
      <c r="X4" s="38"/>
      <c r="Y4" s="38"/>
      <c r="Z4" s="2"/>
      <c r="AA4" s="2"/>
      <c r="AB4" s="2"/>
      <c r="AC4" s="2"/>
      <c r="AD4" s="2"/>
      <c r="AE4" s="2"/>
    </row>
    <row r="5" spans="1:31" ht="15.6">
      <c r="A5" s="14"/>
      <c r="B5" s="95" t="s">
        <v>124</v>
      </c>
      <c r="C5" s="94"/>
      <c r="D5" s="94">
        <f>SUM(D6,D11)</f>
        <v>5000000</v>
      </c>
      <c r="E5" s="94">
        <f t="shared" ref="E5:K5" si="0">SUM(E6,E11)</f>
        <v>39000000</v>
      </c>
      <c r="F5" s="94">
        <f t="shared" si="0"/>
        <v>9000000</v>
      </c>
      <c r="G5" s="94">
        <f t="shared" si="0"/>
        <v>53000000</v>
      </c>
      <c r="H5" s="94">
        <f t="shared" si="0"/>
        <v>9000000</v>
      </c>
      <c r="I5" s="94">
        <f t="shared" si="0"/>
        <v>114600000</v>
      </c>
      <c r="J5" s="94">
        <f t="shared" si="0"/>
        <v>114600000</v>
      </c>
      <c r="K5" s="94">
        <f t="shared" si="0"/>
        <v>114600000</v>
      </c>
      <c r="L5" s="94">
        <f>SUM(L6,L11)</f>
        <v>352800000</v>
      </c>
      <c r="M5" s="94">
        <f t="shared" ref="M5:P5" si="1">SUM(M6,M11)</f>
        <v>470000000</v>
      </c>
      <c r="N5" s="94">
        <f t="shared" si="1"/>
        <v>470000000</v>
      </c>
      <c r="O5" s="94">
        <f t="shared" si="1"/>
        <v>470000000</v>
      </c>
      <c r="P5" s="94">
        <f t="shared" si="1"/>
        <v>470000000</v>
      </c>
      <c r="Q5" s="3"/>
      <c r="R5" s="3"/>
      <c r="S5" s="31"/>
      <c r="T5" s="31"/>
      <c r="U5" s="2"/>
      <c r="V5" s="2"/>
      <c r="W5" s="38"/>
      <c r="X5" s="38"/>
      <c r="Y5" s="38"/>
      <c r="Z5" s="2"/>
      <c r="AA5" s="2"/>
      <c r="AB5" s="2"/>
      <c r="AC5" s="2"/>
      <c r="AD5" s="2"/>
      <c r="AE5" s="2"/>
    </row>
    <row r="6" spans="1:31" ht="15.6">
      <c r="A6" s="14"/>
      <c r="B6" s="29" t="s">
        <v>128</v>
      </c>
      <c r="C6" s="29"/>
      <c r="D6" s="29">
        <f>D7*D8</f>
        <v>0</v>
      </c>
      <c r="E6" s="29">
        <f>E7*E8</f>
        <v>9000000</v>
      </c>
      <c r="F6" s="29">
        <f>F7*F8</f>
        <v>9000000</v>
      </c>
      <c r="G6" s="29">
        <f t="shared" ref="G6" si="2">G7*G8</f>
        <v>18000000</v>
      </c>
      <c r="H6" s="29">
        <f>H7*H8+H10*H9</f>
        <v>9000000</v>
      </c>
      <c r="I6" s="29">
        <f t="shared" ref="I6:K6" si="3">I7*I8+I10*I9</f>
        <v>114600000</v>
      </c>
      <c r="J6" s="29">
        <f t="shared" si="3"/>
        <v>114600000</v>
      </c>
      <c r="K6" s="29">
        <f t="shared" si="3"/>
        <v>114600000</v>
      </c>
      <c r="L6" s="30">
        <f>L7*L8+L9*L10</f>
        <v>352800000</v>
      </c>
      <c r="M6" s="30">
        <f t="shared" ref="M6:P6" si="4">M7*M8+M9*M10</f>
        <v>470000000</v>
      </c>
      <c r="N6" s="30">
        <f t="shared" si="4"/>
        <v>470000000</v>
      </c>
      <c r="O6" s="30">
        <f t="shared" si="4"/>
        <v>470000000</v>
      </c>
      <c r="P6" s="30">
        <f t="shared" si="4"/>
        <v>470000000</v>
      </c>
      <c r="Q6" s="3"/>
      <c r="R6" s="3"/>
      <c r="S6" s="31"/>
      <c r="T6" s="31"/>
      <c r="U6" s="2"/>
      <c r="V6" s="2"/>
      <c r="W6" s="39" t="s">
        <v>68</v>
      </c>
      <c r="X6" s="39">
        <v>4</v>
      </c>
      <c r="Y6" s="39">
        <f>X6*50000</f>
        <v>200000</v>
      </c>
      <c r="Z6" s="2"/>
      <c r="AA6" s="31" t="s">
        <v>64</v>
      </c>
      <c r="AB6" s="31"/>
      <c r="AC6" s="31">
        <v>120000</v>
      </c>
      <c r="AD6" s="2"/>
      <c r="AE6" s="2"/>
    </row>
    <row r="7" spans="1:31">
      <c r="A7" s="2"/>
      <c r="B7" s="63" t="s">
        <v>126</v>
      </c>
      <c r="C7" s="39"/>
      <c r="D7" s="39"/>
      <c r="E7" s="39">
        <v>25000</v>
      </c>
      <c r="F7" s="39">
        <v>25000</v>
      </c>
      <c r="G7" s="39">
        <f>SUM(E7:F7)</f>
        <v>50000</v>
      </c>
      <c r="H7" s="39">
        <v>25000</v>
      </c>
      <c r="I7" s="39">
        <v>35000</v>
      </c>
      <c r="J7" s="39">
        <v>35000</v>
      </c>
      <c r="K7" s="39">
        <v>35000</v>
      </c>
      <c r="L7" s="64">
        <f>SUM(H7:K7)</f>
        <v>130000</v>
      </c>
      <c r="M7" s="64">
        <v>150000</v>
      </c>
      <c r="N7" s="64">
        <v>150000</v>
      </c>
      <c r="O7" s="64">
        <v>150000</v>
      </c>
      <c r="P7" s="64">
        <v>150000</v>
      </c>
      <c r="Q7" s="5"/>
      <c r="R7" s="5"/>
      <c r="S7" s="32" t="s">
        <v>94</v>
      </c>
      <c r="T7" s="32">
        <v>200000000</v>
      </c>
      <c r="U7" s="5"/>
      <c r="V7" s="7"/>
      <c r="W7" s="40" t="s">
        <v>67</v>
      </c>
      <c r="X7" s="39">
        <v>4</v>
      </c>
      <c r="Y7" s="41">
        <f>X7*100000</f>
        <v>400000</v>
      </c>
      <c r="Z7" s="12"/>
      <c r="AA7" s="42" t="s">
        <v>79</v>
      </c>
      <c r="AB7" s="43">
        <v>4</v>
      </c>
      <c r="AC7" s="43">
        <v>240000</v>
      </c>
      <c r="AD7" s="2"/>
      <c r="AE7" s="2"/>
    </row>
    <row r="8" spans="1:31">
      <c r="A8" s="2"/>
      <c r="B8" s="65" t="s">
        <v>127</v>
      </c>
      <c r="C8" s="39"/>
      <c r="D8" s="39"/>
      <c r="E8" s="64">
        <v>360</v>
      </c>
      <c r="F8" s="64">
        <v>360</v>
      </c>
      <c r="G8" s="64">
        <v>360</v>
      </c>
      <c r="H8" s="64">
        <v>360</v>
      </c>
      <c r="I8" s="64">
        <v>360</v>
      </c>
      <c r="J8" s="64">
        <v>360</v>
      </c>
      <c r="K8" s="64">
        <v>360</v>
      </c>
      <c r="L8" s="64">
        <v>360</v>
      </c>
      <c r="M8" s="64">
        <v>300</v>
      </c>
      <c r="N8" s="64">
        <v>300</v>
      </c>
      <c r="O8" s="64">
        <v>300</v>
      </c>
      <c r="P8" s="64">
        <v>300</v>
      </c>
      <c r="Q8" s="5"/>
      <c r="R8" s="5"/>
      <c r="S8" s="32" t="s">
        <v>95</v>
      </c>
      <c r="T8" s="32">
        <v>35000000</v>
      </c>
      <c r="U8" s="5"/>
      <c r="V8" s="7"/>
      <c r="W8" s="40" t="s">
        <v>69</v>
      </c>
      <c r="X8" s="39">
        <v>4</v>
      </c>
      <c r="Y8" s="41">
        <f>X8*80000</f>
        <v>320000</v>
      </c>
      <c r="Z8" s="12"/>
      <c r="AA8" s="42" t="s">
        <v>80</v>
      </c>
      <c r="AB8" s="43">
        <v>2</v>
      </c>
      <c r="AC8" s="43">
        <v>120000</v>
      </c>
      <c r="AD8" s="2"/>
      <c r="AE8" s="2"/>
    </row>
    <row r="9" spans="1:31">
      <c r="A9" s="2"/>
      <c r="B9" s="65" t="s">
        <v>125</v>
      </c>
      <c r="C9" s="39"/>
      <c r="D9" s="39"/>
      <c r="E9" s="39"/>
      <c r="F9" s="39"/>
      <c r="G9" s="39"/>
      <c r="H9" s="39"/>
      <c r="I9" s="39">
        <v>120000</v>
      </c>
      <c r="J9" s="39">
        <v>120000</v>
      </c>
      <c r="K9" s="39">
        <v>120000</v>
      </c>
      <c r="L9" s="64">
        <f>SUM(H9:K9)</f>
        <v>360000</v>
      </c>
      <c r="M9" s="64">
        <v>500000</v>
      </c>
      <c r="N9" s="64">
        <v>500000</v>
      </c>
      <c r="O9" s="64">
        <v>500000</v>
      </c>
      <c r="P9" s="64">
        <v>500000</v>
      </c>
      <c r="Q9" s="5"/>
      <c r="R9" s="5"/>
      <c r="S9" s="32" t="s">
        <v>96</v>
      </c>
      <c r="T9" s="32">
        <v>12500000</v>
      </c>
      <c r="U9" s="5"/>
      <c r="V9" s="7"/>
      <c r="W9" s="40" t="s">
        <v>70</v>
      </c>
      <c r="X9" s="39">
        <v>4</v>
      </c>
      <c r="Y9" s="41">
        <f>X9*80000</f>
        <v>320000</v>
      </c>
      <c r="Z9" s="12"/>
      <c r="AA9" s="42" t="s">
        <v>81</v>
      </c>
      <c r="AB9" s="43">
        <v>4</v>
      </c>
      <c r="AC9" s="43">
        <v>240000</v>
      </c>
      <c r="AD9" s="2"/>
      <c r="AE9" s="2"/>
    </row>
    <row r="10" spans="1:31">
      <c r="A10" s="2"/>
      <c r="B10" s="65" t="s">
        <v>127</v>
      </c>
      <c r="C10" s="39"/>
      <c r="D10" s="39"/>
      <c r="E10" s="39"/>
      <c r="F10" s="39"/>
      <c r="G10" s="39"/>
      <c r="H10" s="64"/>
      <c r="I10" s="64">
        <v>850</v>
      </c>
      <c r="J10" s="64">
        <v>850</v>
      </c>
      <c r="K10" s="64">
        <v>850</v>
      </c>
      <c r="L10" s="64">
        <v>850</v>
      </c>
      <c r="M10" s="64">
        <v>850</v>
      </c>
      <c r="N10" s="64">
        <v>850</v>
      </c>
      <c r="O10" s="64">
        <v>850</v>
      </c>
      <c r="P10" s="64">
        <v>850</v>
      </c>
      <c r="Q10" s="5"/>
      <c r="R10" s="5"/>
      <c r="S10" s="32" t="s">
        <v>151</v>
      </c>
      <c r="T10" s="32">
        <v>37000000</v>
      </c>
      <c r="U10" s="5"/>
      <c r="V10" s="7"/>
      <c r="W10" s="40" t="s">
        <v>71</v>
      </c>
      <c r="X10" s="39">
        <v>2</v>
      </c>
      <c r="Y10" s="41">
        <f>X10*80000</f>
        <v>160000</v>
      </c>
      <c r="Z10" s="12"/>
      <c r="AA10" s="12"/>
      <c r="AB10" s="11"/>
      <c r="AC10" s="11"/>
      <c r="AD10" s="2"/>
      <c r="AE10" s="2"/>
    </row>
    <row r="11" spans="1:31">
      <c r="A11" s="2"/>
      <c r="B11" s="77" t="s">
        <v>134</v>
      </c>
      <c r="C11" s="39"/>
      <c r="D11" s="39">
        <v>5000000</v>
      </c>
      <c r="E11" s="39">
        <v>30000000</v>
      </c>
      <c r="F11" s="39"/>
      <c r="G11" s="39">
        <f>SUM(D11:F11)</f>
        <v>35000000</v>
      </c>
      <c r="H11" s="64"/>
      <c r="I11" s="64"/>
      <c r="J11" s="64"/>
      <c r="K11" s="64"/>
      <c r="L11" s="64"/>
      <c r="M11" s="64"/>
      <c r="N11" s="64"/>
      <c r="O11" s="64"/>
      <c r="P11" s="64"/>
      <c r="Q11" s="5"/>
      <c r="R11" s="5"/>
      <c r="S11" s="32"/>
      <c r="T11" s="32"/>
      <c r="U11" s="5"/>
      <c r="V11" s="7"/>
      <c r="W11" s="40"/>
      <c r="X11" s="39"/>
      <c r="Y11" s="41"/>
      <c r="Z11" s="12"/>
      <c r="AA11" s="12"/>
      <c r="AB11" s="11"/>
      <c r="AC11" s="11"/>
      <c r="AD11" s="2"/>
      <c r="AE11" s="2"/>
    </row>
    <row r="12" spans="1:31">
      <c r="A12" s="2"/>
      <c r="B12" s="87" t="s">
        <v>0</v>
      </c>
      <c r="C12" s="88"/>
      <c r="D12" s="89">
        <f>SUM(D14:D24,D39,D51)</f>
        <v>5000000</v>
      </c>
      <c r="E12" s="89">
        <f>SUM(E13,E26,E39,E51)</f>
        <v>29487500</v>
      </c>
      <c r="F12" s="89">
        <f>SUM(F13,F26,F39,F51)</f>
        <v>3487500</v>
      </c>
      <c r="G12" s="89">
        <f>SUM(G13,G26,G39,G51)</f>
        <v>37975000</v>
      </c>
      <c r="H12" s="89">
        <f t="shared" ref="H12:P12" si="5">SUM(H13,H26,H39,H51)</f>
        <v>8287500</v>
      </c>
      <c r="I12" s="89">
        <f t="shared" si="5"/>
        <v>62887500</v>
      </c>
      <c r="J12" s="89">
        <f t="shared" si="5"/>
        <v>59287500</v>
      </c>
      <c r="K12" s="89">
        <f t="shared" si="5"/>
        <v>49587500</v>
      </c>
      <c r="L12" s="89">
        <f t="shared" si="5"/>
        <v>175050000</v>
      </c>
      <c r="M12" s="89">
        <f t="shared" si="5"/>
        <v>176875469.3877551</v>
      </c>
      <c r="N12" s="89">
        <f t="shared" si="5"/>
        <v>196075469.3877551</v>
      </c>
      <c r="O12" s="89">
        <f t="shared" si="5"/>
        <v>196075469.3877551</v>
      </c>
      <c r="P12" s="89">
        <f t="shared" si="5"/>
        <v>196075469.3877551</v>
      </c>
      <c r="Q12" s="5"/>
      <c r="R12" s="5"/>
      <c r="S12" s="32"/>
      <c r="T12" s="32"/>
      <c r="U12" s="5">
        <f>SUM(T7:T10)</f>
        <v>284500000</v>
      </c>
      <c r="V12" s="7"/>
      <c r="W12" s="40" t="s">
        <v>72</v>
      </c>
      <c r="X12" s="39">
        <v>2</v>
      </c>
      <c r="Y12" s="41">
        <f>X12*80000</f>
        <v>160000</v>
      </c>
      <c r="Z12" s="12"/>
      <c r="AA12" s="12"/>
      <c r="AB12" s="11"/>
      <c r="AC12" s="11"/>
      <c r="AD12" s="2"/>
      <c r="AE12" s="2"/>
    </row>
    <row r="13" spans="1:31" ht="28.2">
      <c r="A13" s="2"/>
      <c r="B13" s="97" t="s">
        <v>139</v>
      </c>
      <c r="C13" s="79"/>
      <c r="D13" s="80">
        <f>SUM(D14:D24)</f>
        <v>5000000</v>
      </c>
      <c r="E13" s="80">
        <f>SUM(E14:E24)</f>
        <v>12000000</v>
      </c>
      <c r="F13" s="80">
        <f>SUM(F14:F24)</f>
        <v>1000000</v>
      </c>
      <c r="G13" s="80">
        <f>SUM(G14:G24)</f>
        <v>18000000</v>
      </c>
      <c r="H13" s="80">
        <f t="shared" ref="H13:K13" si="6">SUM(H14:H24)</f>
        <v>5500000</v>
      </c>
      <c r="I13" s="80">
        <f>SUM(I14:I25)</f>
        <v>16500000</v>
      </c>
      <c r="J13" s="80">
        <f t="shared" si="6"/>
        <v>12900000</v>
      </c>
      <c r="K13" s="80">
        <f t="shared" si="6"/>
        <v>3200000</v>
      </c>
      <c r="L13" s="80">
        <f>SUM(L14:L24)</f>
        <v>33100000</v>
      </c>
      <c r="M13" s="80">
        <f t="shared" ref="M13:P13" si="7">SUM(M14:M24)</f>
        <v>0</v>
      </c>
      <c r="N13" s="80">
        <f t="shared" si="7"/>
        <v>0</v>
      </c>
      <c r="O13" s="80">
        <f t="shared" si="7"/>
        <v>0</v>
      </c>
      <c r="P13" s="80">
        <f t="shared" si="7"/>
        <v>0</v>
      </c>
      <c r="Q13" s="5"/>
      <c r="R13" s="5"/>
      <c r="S13" s="32"/>
      <c r="T13" s="32"/>
      <c r="U13" s="5"/>
      <c r="V13" s="7"/>
      <c r="W13" s="40"/>
      <c r="X13" s="39"/>
      <c r="Y13" s="41"/>
      <c r="Z13" s="12"/>
      <c r="AA13" s="12"/>
      <c r="AB13" s="11"/>
      <c r="AC13" s="11"/>
      <c r="AD13" s="2"/>
      <c r="AE13" s="2"/>
    </row>
    <row r="14" spans="1:31">
      <c r="A14" s="38"/>
      <c r="B14" s="76" t="s">
        <v>65</v>
      </c>
      <c r="C14" s="70"/>
      <c r="D14" s="23">
        <v>500000</v>
      </c>
      <c r="E14" s="25">
        <v>3500000</v>
      </c>
      <c r="F14" s="71"/>
      <c r="G14" s="71">
        <f>SUM(D14:F14)</f>
        <v>4000000</v>
      </c>
      <c r="H14" s="71">
        <v>1000000</v>
      </c>
      <c r="I14" s="71">
        <v>4000000</v>
      </c>
      <c r="J14" s="71">
        <v>4000000</v>
      </c>
      <c r="K14" s="71"/>
      <c r="L14" s="71">
        <f t="shared" ref="L14:L24" si="8">SUM(H14:K14)</f>
        <v>9000000</v>
      </c>
      <c r="M14" s="71"/>
      <c r="N14" s="71"/>
      <c r="O14" s="71"/>
      <c r="P14" s="71"/>
      <c r="Q14" s="72"/>
      <c r="R14" s="72"/>
      <c r="S14" s="64"/>
      <c r="T14" s="64"/>
      <c r="U14" s="72"/>
      <c r="V14" s="73"/>
      <c r="W14" s="40"/>
      <c r="X14" s="39"/>
      <c r="Y14" s="41"/>
      <c r="Z14" s="74"/>
      <c r="AA14" s="74"/>
      <c r="AB14" s="75"/>
      <c r="AC14" s="75"/>
      <c r="AD14" s="38"/>
      <c r="AE14" s="38"/>
    </row>
    <row r="15" spans="1:31">
      <c r="A15" s="38"/>
      <c r="B15" s="76" t="s">
        <v>35</v>
      </c>
      <c r="C15" s="70"/>
      <c r="D15" s="23">
        <v>3000000</v>
      </c>
      <c r="E15" s="71"/>
      <c r="F15" s="71"/>
      <c r="G15" s="71">
        <f t="shared" ref="G15:G21" si="9">SUM(D15:F15)</f>
        <v>3000000</v>
      </c>
      <c r="H15" s="71"/>
      <c r="I15" s="71"/>
      <c r="J15" s="71"/>
      <c r="K15" s="71"/>
      <c r="L15" s="71">
        <f t="shared" si="8"/>
        <v>0</v>
      </c>
      <c r="M15" s="71"/>
      <c r="N15" s="71"/>
      <c r="O15" s="71"/>
      <c r="P15" s="71"/>
      <c r="Q15" s="72"/>
      <c r="R15" s="72"/>
      <c r="S15" s="64"/>
      <c r="T15" s="64"/>
      <c r="U15" s="72"/>
      <c r="V15" s="73"/>
      <c r="W15" s="40"/>
      <c r="X15" s="39"/>
      <c r="Y15" s="41"/>
      <c r="Z15" s="74"/>
      <c r="AA15" s="74"/>
      <c r="AB15" s="75"/>
      <c r="AC15" s="75"/>
      <c r="AD15" s="38"/>
      <c r="AE15" s="38"/>
    </row>
    <row r="16" spans="1:31">
      <c r="A16" s="38"/>
      <c r="B16" s="22" t="s">
        <v>44</v>
      </c>
      <c r="C16" s="70"/>
      <c r="D16" s="23">
        <v>300000</v>
      </c>
      <c r="E16" s="71"/>
      <c r="F16" s="71"/>
      <c r="G16" s="71">
        <f t="shared" si="9"/>
        <v>300000</v>
      </c>
      <c r="H16" s="71"/>
      <c r="I16" s="71"/>
      <c r="J16" s="71"/>
      <c r="K16" s="71"/>
      <c r="L16" s="71">
        <f t="shared" si="8"/>
        <v>0</v>
      </c>
      <c r="M16" s="71"/>
      <c r="N16" s="71"/>
      <c r="O16" s="71"/>
      <c r="P16" s="71"/>
      <c r="Q16" s="72"/>
      <c r="R16" s="72"/>
      <c r="S16" s="64"/>
      <c r="T16" s="64"/>
      <c r="U16" s="72"/>
      <c r="V16" s="73"/>
      <c r="W16" s="40"/>
      <c r="X16" s="39"/>
      <c r="Y16" s="41"/>
      <c r="Z16" s="74"/>
      <c r="AA16" s="74"/>
      <c r="AB16" s="75"/>
      <c r="AC16" s="75"/>
      <c r="AD16" s="38"/>
      <c r="AE16" s="38"/>
    </row>
    <row r="17" spans="1:31">
      <c r="A17" s="38"/>
      <c r="B17" s="22" t="s">
        <v>37</v>
      </c>
      <c r="C17" s="70"/>
      <c r="D17" s="23">
        <v>1200000</v>
      </c>
      <c r="E17" s="71"/>
      <c r="F17" s="71"/>
      <c r="G17" s="71">
        <f t="shared" si="9"/>
        <v>1200000</v>
      </c>
      <c r="H17" s="71"/>
      <c r="I17" s="71"/>
      <c r="J17" s="71"/>
      <c r="K17" s="71"/>
      <c r="L17" s="71">
        <f t="shared" si="8"/>
        <v>0</v>
      </c>
      <c r="M17" s="71"/>
      <c r="N17" s="71"/>
      <c r="O17" s="71"/>
      <c r="P17" s="71"/>
      <c r="Q17" s="72"/>
      <c r="R17" s="72"/>
      <c r="S17" s="64"/>
      <c r="T17" s="64"/>
      <c r="U17" s="72"/>
      <c r="V17" s="73"/>
      <c r="W17" s="40"/>
      <c r="X17" s="39"/>
      <c r="Y17" s="41"/>
      <c r="Z17" s="74"/>
      <c r="AA17" s="74"/>
      <c r="AB17" s="75"/>
      <c r="AC17" s="75"/>
      <c r="AD17" s="38"/>
      <c r="AE17" s="38"/>
    </row>
    <row r="18" spans="1:31">
      <c r="A18" s="38"/>
      <c r="B18" s="22" t="s">
        <v>130</v>
      </c>
      <c r="C18" s="70"/>
      <c r="D18" s="23"/>
      <c r="E18" s="71">
        <v>4000000</v>
      </c>
      <c r="F18" s="71"/>
      <c r="G18" s="71">
        <f t="shared" si="9"/>
        <v>4000000</v>
      </c>
      <c r="H18" s="71">
        <v>1000000</v>
      </c>
      <c r="I18" s="71">
        <v>3000000</v>
      </c>
      <c r="J18" s="71">
        <v>5000000</v>
      </c>
      <c r="K18" s="71">
        <v>2000000</v>
      </c>
      <c r="L18" s="71">
        <f t="shared" si="8"/>
        <v>11000000</v>
      </c>
      <c r="M18" s="71"/>
      <c r="N18" s="71"/>
      <c r="O18" s="71"/>
      <c r="P18" s="71"/>
      <c r="Q18" s="72"/>
      <c r="R18" s="72"/>
      <c r="S18" s="64"/>
      <c r="T18" s="64"/>
      <c r="U18" s="72"/>
      <c r="V18" s="73"/>
      <c r="W18" s="40"/>
      <c r="X18" s="39"/>
      <c r="Y18" s="41"/>
      <c r="Z18" s="74"/>
      <c r="AA18" s="74"/>
      <c r="AB18" s="75"/>
      <c r="AC18" s="75"/>
      <c r="AD18" s="38"/>
      <c r="AE18" s="38"/>
    </row>
    <row r="19" spans="1:31">
      <c r="A19" s="38"/>
      <c r="B19" s="22" t="s">
        <v>99</v>
      </c>
      <c r="C19" s="70"/>
      <c r="D19" s="23"/>
      <c r="E19" s="71">
        <v>4000000</v>
      </c>
      <c r="F19" s="71"/>
      <c r="G19" s="71">
        <f t="shared" si="9"/>
        <v>4000000</v>
      </c>
      <c r="H19" s="71">
        <v>2000000</v>
      </c>
      <c r="I19" s="71"/>
      <c r="J19" s="71"/>
      <c r="K19" s="71"/>
      <c r="L19" s="71">
        <f t="shared" si="8"/>
        <v>2000000</v>
      </c>
      <c r="M19" s="71"/>
      <c r="N19" s="71"/>
      <c r="O19" s="71"/>
      <c r="P19" s="71"/>
      <c r="Q19" s="72"/>
      <c r="R19" s="72"/>
      <c r="S19" s="64"/>
      <c r="T19" s="64"/>
      <c r="U19" s="72"/>
      <c r="V19" s="73"/>
      <c r="W19" s="40"/>
      <c r="X19" s="39"/>
      <c r="Y19" s="41"/>
      <c r="Z19" s="74"/>
      <c r="AA19" s="74"/>
      <c r="AB19" s="75"/>
      <c r="AC19" s="75"/>
      <c r="AD19" s="38"/>
      <c r="AE19" s="38"/>
    </row>
    <row r="20" spans="1:31">
      <c r="A20" s="38"/>
      <c r="B20" s="22" t="s">
        <v>131</v>
      </c>
      <c r="C20" s="70"/>
      <c r="D20" s="23"/>
      <c r="E20" s="71">
        <v>500000</v>
      </c>
      <c r="F20" s="71"/>
      <c r="G20" s="71">
        <f t="shared" si="9"/>
        <v>500000</v>
      </c>
      <c r="H20" s="71"/>
      <c r="I20" s="71"/>
      <c r="J20" s="71"/>
      <c r="K20" s="71"/>
      <c r="L20" s="71">
        <f t="shared" si="8"/>
        <v>0</v>
      </c>
      <c r="M20" s="71"/>
      <c r="N20" s="71"/>
      <c r="O20" s="71"/>
      <c r="P20" s="71"/>
      <c r="Q20" s="72"/>
      <c r="R20" s="72"/>
      <c r="S20" s="64"/>
      <c r="T20" s="64"/>
      <c r="U20" s="72"/>
      <c r="V20" s="73"/>
      <c r="W20" s="40"/>
      <c r="X20" s="39"/>
      <c r="Y20" s="41"/>
      <c r="Z20" s="74"/>
      <c r="AA20" s="74"/>
      <c r="AB20" s="75"/>
      <c r="AC20" s="75"/>
      <c r="AD20" s="38"/>
      <c r="AE20" s="38"/>
    </row>
    <row r="21" spans="1:31">
      <c r="A21" s="38"/>
      <c r="B21" s="22" t="s">
        <v>132</v>
      </c>
      <c r="C21" s="70"/>
      <c r="D21" s="23"/>
      <c r="E21" s="71"/>
      <c r="F21" s="71">
        <v>1000000</v>
      </c>
      <c r="G21" s="71">
        <f t="shared" si="9"/>
        <v>1000000</v>
      </c>
      <c r="H21" s="71"/>
      <c r="I21" s="71"/>
      <c r="J21" s="71"/>
      <c r="K21" s="71"/>
      <c r="L21" s="71">
        <f t="shared" si="8"/>
        <v>0</v>
      </c>
      <c r="M21" s="71"/>
      <c r="N21" s="71"/>
      <c r="O21" s="71"/>
      <c r="P21" s="71"/>
      <c r="Q21" s="72"/>
      <c r="R21" s="72"/>
      <c r="S21" s="64"/>
      <c r="T21" s="64"/>
      <c r="U21" s="72"/>
      <c r="V21" s="73"/>
      <c r="W21" s="40"/>
      <c r="X21" s="39"/>
      <c r="Y21" s="41"/>
      <c r="Z21" s="74"/>
      <c r="AA21" s="74"/>
      <c r="AB21" s="75"/>
      <c r="AC21" s="75"/>
      <c r="AD21" s="38"/>
      <c r="AE21" s="38"/>
    </row>
    <row r="22" spans="1:31">
      <c r="A22" s="38"/>
      <c r="B22" s="22" t="s">
        <v>136</v>
      </c>
      <c r="C22" s="70"/>
      <c r="D22" s="23"/>
      <c r="E22" s="71"/>
      <c r="F22" s="71"/>
      <c r="G22" s="71"/>
      <c r="H22" s="71">
        <v>1500000</v>
      </c>
      <c r="I22" s="71"/>
      <c r="J22" s="71"/>
      <c r="K22" s="71"/>
      <c r="L22" s="71">
        <f t="shared" si="8"/>
        <v>1500000</v>
      </c>
      <c r="M22" s="71"/>
      <c r="N22" s="71"/>
      <c r="O22" s="71"/>
      <c r="P22" s="71"/>
      <c r="Q22" s="72"/>
      <c r="R22" s="72"/>
      <c r="S22" s="64"/>
      <c r="T22" s="64"/>
      <c r="U22" s="72"/>
      <c r="V22" s="73"/>
      <c r="W22" s="40"/>
      <c r="X22" s="39"/>
      <c r="Y22" s="41"/>
      <c r="Z22" s="74"/>
      <c r="AA22" s="74"/>
      <c r="AB22" s="75"/>
      <c r="AC22" s="75"/>
      <c r="AD22" s="38"/>
      <c r="AE22" s="38"/>
    </row>
    <row r="23" spans="1:31">
      <c r="A23" s="38"/>
      <c r="B23" s="22" t="s">
        <v>137</v>
      </c>
      <c r="C23" s="70"/>
      <c r="D23" s="23"/>
      <c r="E23" s="71"/>
      <c r="F23" s="71"/>
      <c r="G23" s="71"/>
      <c r="H23" s="71"/>
      <c r="I23" s="71">
        <v>1500000</v>
      </c>
      <c r="J23" s="71">
        <v>1500000</v>
      </c>
      <c r="K23" s="71">
        <v>1200000</v>
      </c>
      <c r="L23" s="71">
        <f t="shared" si="8"/>
        <v>4200000</v>
      </c>
      <c r="M23" s="71"/>
      <c r="N23" s="71"/>
      <c r="O23" s="71"/>
      <c r="P23" s="71"/>
      <c r="Q23" s="72"/>
      <c r="R23" s="72"/>
      <c r="S23" s="64"/>
      <c r="T23" s="64"/>
      <c r="U23" s="72"/>
      <c r="V23" s="73"/>
      <c r="W23" s="40"/>
      <c r="X23" s="39"/>
      <c r="Y23" s="41"/>
      <c r="Z23" s="74"/>
      <c r="AA23" s="74"/>
      <c r="AB23" s="75"/>
      <c r="AC23" s="75"/>
      <c r="AD23" s="38"/>
      <c r="AE23" s="38"/>
    </row>
    <row r="24" spans="1:31">
      <c r="A24" s="38"/>
      <c r="B24" s="22" t="s">
        <v>138</v>
      </c>
      <c r="C24" s="70"/>
      <c r="D24" s="23"/>
      <c r="E24" s="71"/>
      <c r="F24" s="71"/>
      <c r="G24" s="71"/>
      <c r="H24" s="71"/>
      <c r="I24" s="71">
        <v>3000000</v>
      </c>
      <c r="J24" s="71">
        <v>2400000</v>
      </c>
      <c r="K24" s="71"/>
      <c r="L24" s="71">
        <f t="shared" si="8"/>
        <v>5400000</v>
      </c>
      <c r="M24" s="71"/>
      <c r="N24" s="71"/>
      <c r="O24" s="71"/>
      <c r="P24" s="71"/>
      <c r="Q24" s="72"/>
      <c r="R24" s="72"/>
      <c r="S24" s="64"/>
      <c r="T24" s="64"/>
      <c r="U24" s="72"/>
      <c r="V24" s="73"/>
      <c r="W24" s="40"/>
      <c r="X24" s="39"/>
      <c r="Y24" s="41"/>
      <c r="Z24" s="74"/>
      <c r="AA24" s="74"/>
      <c r="AB24" s="75"/>
      <c r="AC24" s="75"/>
      <c r="AD24" s="38"/>
      <c r="AE24" s="38"/>
    </row>
    <row r="25" spans="1:31">
      <c r="A25" s="38"/>
      <c r="B25" s="22" t="s">
        <v>98</v>
      </c>
      <c r="C25" s="70"/>
      <c r="D25" s="23"/>
      <c r="E25" s="71"/>
      <c r="F25" s="71"/>
      <c r="G25" s="71"/>
      <c r="H25" s="71"/>
      <c r="I25" s="71">
        <v>5000000</v>
      </c>
      <c r="J25" s="71"/>
      <c r="K25" s="71"/>
      <c r="L25" s="71"/>
      <c r="M25" s="71"/>
      <c r="N25" s="71"/>
      <c r="O25" s="71"/>
      <c r="P25" s="71"/>
      <c r="Q25" s="72"/>
      <c r="R25" s="72"/>
      <c r="S25" s="64"/>
      <c r="T25" s="64"/>
      <c r="U25" s="72"/>
      <c r="V25" s="73"/>
      <c r="W25" s="40"/>
      <c r="X25" s="39"/>
      <c r="Y25" s="41"/>
      <c r="Z25" s="74"/>
      <c r="AA25" s="74"/>
      <c r="AB25" s="75"/>
      <c r="AC25" s="75"/>
      <c r="AD25" s="38"/>
      <c r="AE25" s="38"/>
    </row>
    <row r="26" spans="1:31">
      <c r="A26" s="2"/>
      <c r="B26" s="82" t="s">
        <v>103</v>
      </c>
      <c r="C26" s="82"/>
      <c r="D26" s="82"/>
      <c r="E26" s="81">
        <f>SUM(E27:E36)</f>
        <v>1250000</v>
      </c>
      <c r="F26" s="81">
        <f t="shared" ref="F26:H26" si="10">SUM(F27:F36)</f>
        <v>1250000</v>
      </c>
      <c r="G26" s="81">
        <f t="shared" si="10"/>
        <v>2500000</v>
      </c>
      <c r="H26" s="81">
        <f t="shared" si="10"/>
        <v>1250000</v>
      </c>
      <c r="I26" s="81">
        <f>SUM(I27:I32,I36)</f>
        <v>35886000</v>
      </c>
      <c r="J26" s="81">
        <f t="shared" ref="J26:K26" si="11">SUM(J27:J32,J36)</f>
        <v>35886000</v>
      </c>
      <c r="K26" s="81">
        <f t="shared" si="11"/>
        <v>35886000</v>
      </c>
      <c r="L26" s="81">
        <f>SUM(L27:L32,L36,L35)</f>
        <v>108908000</v>
      </c>
      <c r="M26" s="81">
        <f t="shared" ref="M26:P26" si="12">SUM(M27:M32,M36,M35)</f>
        <v>147333469.3877551</v>
      </c>
      <c r="N26" s="81">
        <f t="shared" si="12"/>
        <v>166533469.3877551</v>
      </c>
      <c r="O26" s="81">
        <f t="shared" si="12"/>
        <v>166533469.3877551</v>
      </c>
      <c r="P26" s="81">
        <f t="shared" si="12"/>
        <v>166533469.3877551</v>
      </c>
      <c r="Q26" s="5"/>
      <c r="R26" s="5"/>
      <c r="S26" s="32" t="s">
        <v>97</v>
      </c>
      <c r="T26" s="32">
        <v>1000000</v>
      </c>
      <c r="U26" s="5"/>
      <c r="V26" s="7"/>
      <c r="W26" s="40" t="s">
        <v>73</v>
      </c>
      <c r="X26" s="39">
        <v>2</v>
      </c>
      <c r="Y26" s="41">
        <f>X26*70000</f>
        <v>140000</v>
      </c>
      <c r="Z26" s="12"/>
      <c r="AA26" s="12"/>
      <c r="AB26" s="11"/>
      <c r="AC26" s="11"/>
      <c r="AD26" s="2"/>
      <c r="AE26" s="2"/>
    </row>
    <row r="27" spans="1:31">
      <c r="A27" s="2"/>
      <c r="B27" s="31" t="s">
        <v>1</v>
      </c>
      <c r="C27" s="31"/>
      <c r="D27" s="31"/>
      <c r="E27" s="31"/>
      <c r="F27" s="31"/>
      <c r="G27" s="31"/>
      <c r="H27" s="31"/>
      <c r="I27" s="31"/>
      <c r="J27" s="31"/>
      <c r="K27" s="31"/>
      <c r="L27" s="32">
        <v>0</v>
      </c>
      <c r="M27" s="32">
        <v>0</v>
      </c>
      <c r="N27" s="32">
        <v>18000000</v>
      </c>
      <c r="O27" s="32">
        <v>18000000</v>
      </c>
      <c r="P27" s="32">
        <v>18000000</v>
      </c>
      <c r="Q27" s="5"/>
      <c r="R27" s="5"/>
      <c r="S27" s="32" t="s">
        <v>98</v>
      </c>
      <c r="T27" s="32">
        <v>4000000</v>
      </c>
      <c r="U27" s="5"/>
      <c r="V27" s="7"/>
      <c r="W27" s="40" t="s">
        <v>62</v>
      </c>
      <c r="X27" s="39">
        <v>1</v>
      </c>
      <c r="Y27" s="41">
        <v>120000</v>
      </c>
      <c r="Z27" s="12"/>
      <c r="AA27" s="12"/>
      <c r="AB27" s="11"/>
      <c r="AC27" s="11"/>
      <c r="AD27" s="2"/>
      <c r="AE27" s="2"/>
    </row>
    <row r="28" spans="1:31">
      <c r="A28" s="2"/>
      <c r="B28" s="33" t="s">
        <v>2</v>
      </c>
      <c r="C28" s="31"/>
      <c r="D28" s="31"/>
      <c r="E28" s="31"/>
      <c r="F28" s="31"/>
      <c r="G28" s="31"/>
      <c r="H28" s="31"/>
      <c r="I28" s="31">
        <v>3600000</v>
      </c>
      <c r="J28" s="31">
        <v>3600000</v>
      </c>
      <c r="K28" s="31">
        <v>3600000</v>
      </c>
      <c r="L28" s="32">
        <f>SUM(I28:K28)</f>
        <v>10800000</v>
      </c>
      <c r="M28" s="32">
        <f>L28*(M9+M7)/(L7+L9)</f>
        <v>14326530.612244898</v>
      </c>
      <c r="N28" s="32">
        <f>M28*(N9+N7)/(M7+M9)</f>
        <v>14326530.612244898</v>
      </c>
      <c r="O28" s="32">
        <f t="shared" ref="O28:P28" si="13">N28*(O9+O7)/(N7+N9)</f>
        <v>14326530.612244898</v>
      </c>
      <c r="P28" s="32">
        <f t="shared" si="13"/>
        <v>14326530.612244898</v>
      </c>
      <c r="Q28" s="5"/>
      <c r="R28" s="5"/>
      <c r="S28" s="32" t="s">
        <v>99</v>
      </c>
      <c r="T28" s="32">
        <v>6000000</v>
      </c>
      <c r="U28" s="5"/>
      <c r="V28" s="7"/>
      <c r="W28" s="40" t="s">
        <v>74</v>
      </c>
      <c r="X28" s="39">
        <v>4</v>
      </c>
      <c r="Y28" s="41">
        <f>X28*80000</f>
        <v>320000</v>
      </c>
      <c r="Z28" s="12"/>
      <c r="AA28" s="12"/>
      <c r="AB28" s="11"/>
      <c r="AC28" s="11"/>
      <c r="AD28" s="2"/>
      <c r="AE28" s="2"/>
    </row>
    <row r="29" spans="1:31">
      <c r="A29" s="2"/>
      <c r="B29" s="33" t="s">
        <v>3</v>
      </c>
      <c r="C29" s="31"/>
      <c r="D29" s="31"/>
      <c r="E29" s="31"/>
      <c r="F29" s="31"/>
      <c r="G29" s="31"/>
      <c r="H29" s="31"/>
      <c r="I29" s="31">
        <v>600000</v>
      </c>
      <c r="J29" s="31">
        <v>600000</v>
      </c>
      <c r="K29" s="31">
        <v>600000</v>
      </c>
      <c r="L29" s="32">
        <f>SUM(I29:K29)</f>
        <v>1800000</v>
      </c>
      <c r="M29" s="32">
        <f>L29*2</f>
        <v>3600000</v>
      </c>
      <c r="N29" s="32">
        <v>4800000</v>
      </c>
      <c r="O29" s="32">
        <v>4800000</v>
      </c>
      <c r="P29" s="32">
        <v>4800000</v>
      </c>
      <c r="Q29" s="5"/>
      <c r="R29" s="5"/>
      <c r="S29" s="32" t="s">
        <v>100</v>
      </c>
      <c r="T29" s="32">
        <v>15000000</v>
      </c>
      <c r="U29" s="5"/>
      <c r="V29" s="7"/>
      <c r="W29" s="40" t="s">
        <v>63</v>
      </c>
      <c r="X29" s="39">
        <v>1</v>
      </c>
      <c r="Y29" s="41">
        <v>120000</v>
      </c>
      <c r="Z29" s="12"/>
      <c r="AA29" s="12"/>
      <c r="AB29" s="11"/>
      <c r="AC29" s="11"/>
      <c r="AD29" s="2"/>
      <c r="AE29" s="2"/>
    </row>
    <row r="30" spans="1:31">
      <c r="A30" s="2"/>
      <c r="B30" s="33" t="s">
        <v>21</v>
      </c>
      <c r="C30" s="31"/>
      <c r="D30" s="31"/>
      <c r="E30" s="31"/>
      <c r="F30" s="31"/>
      <c r="G30" s="31"/>
      <c r="H30" s="31"/>
      <c r="I30" s="31">
        <v>1200000</v>
      </c>
      <c r="J30" s="31">
        <v>1200000</v>
      </c>
      <c r="K30" s="31">
        <v>1200000</v>
      </c>
      <c r="L30" s="32">
        <f>SUM(I30:K30)</f>
        <v>3600000</v>
      </c>
      <c r="M30" s="32">
        <v>7000000</v>
      </c>
      <c r="N30" s="32">
        <v>7000000</v>
      </c>
      <c r="O30" s="32">
        <v>7000000</v>
      </c>
      <c r="P30" s="32">
        <v>7000000</v>
      </c>
      <c r="Q30" s="5"/>
      <c r="R30" s="5"/>
      <c r="S30" s="32" t="s">
        <v>28</v>
      </c>
      <c r="T30" s="32">
        <v>6400000</v>
      </c>
      <c r="U30" s="5"/>
      <c r="V30" s="7"/>
      <c r="W30" s="40" t="s">
        <v>75</v>
      </c>
      <c r="X30" s="39">
        <v>8</v>
      </c>
      <c r="Y30" s="41">
        <f>X30*70000</f>
        <v>560000</v>
      </c>
      <c r="Z30" s="12"/>
      <c r="AA30" s="12"/>
      <c r="AB30" s="11"/>
      <c r="AC30" s="11"/>
      <c r="AD30" s="2"/>
      <c r="AE30" s="2"/>
    </row>
    <row r="31" spans="1:31">
      <c r="A31" s="2"/>
      <c r="B31" s="33" t="s">
        <v>22</v>
      </c>
      <c r="C31" s="31"/>
      <c r="D31" s="31"/>
      <c r="E31" s="31"/>
      <c r="F31" s="31"/>
      <c r="G31" s="31"/>
      <c r="H31" s="31"/>
      <c r="I31" s="31">
        <v>7500000</v>
      </c>
      <c r="J31" s="31">
        <v>7500000</v>
      </c>
      <c r="K31" s="31">
        <v>7500000</v>
      </c>
      <c r="L31" s="32">
        <f>SUM(I31:K31)</f>
        <v>22500000</v>
      </c>
      <c r="M31" s="32">
        <f>L31/(L7+L9)*(M7+M9)</f>
        <v>29846938.775510203</v>
      </c>
      <c r="N31" s="32">
        <f t="shared" ref="N31:P31" si="14">M31/(M7+M9)*(N7+N9)</f>
        <v>29846938.775510203</v>
      </c>
      <c r="O31" s="32">
        <f t="shared" si="14"/>
        <v>29846938.775510203</v>
      </c>
      <c r="P31" s="32">
        <f t="shared" si="14"/>
        <v>29846938.775510203</v>
      </c>
      <c r="Q31" s="5"/>
      <c r="R31" s="5"/>
      <c r="S31" s="32" t="s">
        <v>29</v>
      </c>
      <c r="T31" s="32">
        <v>1000000</v>
      </c>
      <c r="U31" s="5"/>
      <c r="V31" s="7"/>
      <c r="W31" s="40" t="s">
        <v>76</v>
      </c>
      <c r="X31" s="39">
        <v>8</v>
      </c>
      <c r="Y31" s="41">
        <f>X31*60000</f>
        <v>480000</v>
      </c>
      <c r="Z31" s="12"/>
      <c r="AA31" s="12"/>
      <c r="AB31" s="11"/>
      <c r="AC31" s="11"/>
      <c r="AD31" s="2"/>
      <c r="AE31" s="2"/>
    </row>
    <row r="32" spans="1:31">
      <c r="A32" s="2"/>
      <c r="B32" s="86" t="s">
        <v>142</v>
      </c>
      <c r="C32" s="31"/>
      <c r="D32" s="31"/>
      <c r="E32" s="31"/>
      <c r="F32" s="31"/>
      <c r="G32" s="31"/>
      <c r="H32" s="31"/>
      <c r="I32" s="31">
        <f>SUM(I33:I34)</f>
        <v>3846000</v>
      </c>
      <c r="J32" s="31">
        <f t="shared" ref="J32:P32" si="15">SUM(J33:J34)</f>
        <v>3846000</v>
      </c>
      <c r="K32" s="31">
        <f t="shared" si="15"/>
        <v>3846000</v>
      </c>
      <c r="L32" s="31">
        <f t="shared" si="15"/>
        <v>11538000.000000002</v>
      </c>
      <c r="M32" s="31">
        <f t="shared" si="15"/>
        <v>16000000</v>
      </c>
      <c r="N32" s="31">
        <f t="shared" si="15"/>
        <v>16000000</v>
      </c>
      <c r="O32" s="31">
        <f t="shared" si="15"/>
        <v>16000000</v>
      </c>
      <c r="P32" s="31">
        <f t="shared" si="15"/>
        <v>16000000</v>
      </c>
      <c r="Q32" s="5"/>
      <c r="R32" s="5"/>
      <c r="S32" s="32" t="s">
        <v>30</v>
      </c>
      <c r="T32" s="32">
        <v>3200000</v>
      </c>
      <c r="U32" s="5"/>
      <c r="V32" s="7"/>
      <c r="W32" s="40" t="s">
        <v>77</v>
      </c>
      <c r="X32" s="39">
        <v>4</v>
      </c>
      <c r="Y32" s="41">
        <f>X32*70000</f>
        <v>280000</v>
      </c>
      <c r="Z32" s="12"/>
      <c r="AA32" s="12"/>
      <c r="AB32" s="11"/>
      <c r="AC32" s="11"/>
      <c r="AD32" s="2"/>
      <c r="AE32" s="2"/>
    </row>
    <row r="33" spans="1:31">
      <c r="A33" s="2"/>
      <c r="B33" s="33" t="s">
        <v>140</v>
      </c>
      <c r="C33" s="31"/>
      <c r="D33" s="31"/>
      <c r="E33" s="31"/>
      <c r="F33" s="31"/>
      <c r="G33" s="31"/>
      <c r="H33" s="31"/>
      <c r="I33" s="31">
        <f>4*I9*1.1*7</f>
        <v>3696000</v>
      </c>
      <c r="J33" s="31">
        <f t="shared" ref="J33:P33" si="16">4*J9*1.1*7</f>
        <v>3696000</v>
      </c>
      <c r="K33" s="31">
        <f t="shared" si="16"/>
        <v>3696000</v>
      </c>
      <c r="L33" s="31">
        <f t="shared" si="16"/>
        <v>11088000.000000002</v>
      </c>
      <c r="M33" s="31">
        <f t="shared" si="16"/>
        <v>15400000</v>
      </c>
      <c r="N33" s="31">
        <f t="shared" si="16"/>
        <v>15400000</v>
      </c>
      <c r="O33" s="31">
        <f t="shared" si="16"/>
        <v>15400000</v>
      </c>
      <c r="P33" s="31">
        <f t="shared" si="16"/>
        <v>15400000</v>
      </c>
      <c r="Q33" s="5"/>
      <c r="R33" s="5"/>
      <c r="S33" s="32"/>
      <c r="T33" s="32"/>
      <c r="U33" s="5"/>
      <c r="V33" s="7"/>
      <c r="W33" s="51"/>
      <c r="X33" s="52"/>
      <c r="Y33" s="53"/>
      <c r="Z33" s="12"/>
      <c r="AA33" s="12"/>
      <c r="AB33" s="11"/>
      <c r="AC33" s="11"/>
      <c r="AD33" s="2"/>
      <c r="AE33" s="2"/>
    </row>
    <row r="34" spans="1:31">
      <c r="A34" s="2"/>
      <c r="B34" s="33" t="s">
        <v>141</v>
      </c>
      <c r="C34" s="31"/>
      <c r="D34" s="31"/>
      <c r="E34" s="31"/>
      <c r="F34" s="31"/>
      <c r="G34" s="31"/>
      <c r="H34" s="31"/>
      <c r="I34" s="31">
        <v>150000</v>
      </c>
      <c r="J34" s="31">
        <v>150000</v>
      </c>
      <c r="K34" s="31">
        <v>150000</v>
      </c>
      <c r="L34" s="31">
        <f>SUM(I34:K34)</f>
        <v>450000</v>
      </c>
      <c r="M34" s="31">
        <v>600000</v>
      </c>
      <c r="N34" s="31">
        <v>600000</v>
      </c>
      <c r="O34" s="31">
        <v>600000</v>
      </c>
      <c r="P34" s="31">
        <v>600000</v>
      </c>
      <c r="Q34" s="5"/>
      <c r="R34" s="5"/>
      <c r="S34" s="32"/>
      <c r="T34" s="32"/>
      <c r="U34" s="5"/>
      <c r="V34" s="7"/>
      <c r="W34" s="51"/>
      <c r="X34" s="52"/>
      <c r="Y34" s="53"/>
      <c r="Z34" s="12"/>
      <c r="AA34" s="12"/>
      <c r="AB34" s="11"/>
      <c r="AC34" s="11"/>
      <c r="AD34" s="2"/>
      <c r="AE34" s="2"/>
    </row>
    <row r="35" spans="1:31">
      <c r="A35" s="2"/>
      <c r="B35" s="33" t="s">
        <v>129</v>
      </c>
      <c r="C35" s="31"/>
      <c r="D35" s="31"/>
      <c r="E35" s="31">
        <f>50*E7</f>
        <v>1250000</v>
      </c>
      <c r="F35" s="31">
        <f>50*F7</f>
        <v>1250000</v>
      </c>
      <c r="G35" s="31">
        <f>SUM(E35:F35)</f>
        <v>2500000</v>
      </c>
      <c r="H35" s="31">
        <f>50*H7</f>
        <v>1250000</v>
      </c>
      <c r="I35" s="31"/>
      <c r="J35" s="31"/>
      <c r="K35" s="31"/>
      <c r="L35" s="32">
        <v>1250000</v>
      </c>
      <c r="M35" s="32"/>
      <c r="N35" s="32"/>
      <c r="O35" s="32"/>
      <c r="P35" s="32"/>
      <c r="Q35" s="5"/>
      <c r="R35" s="5"/>
      <c r="S35" s="32"/>
      <c r="T35" s="32"/>
      <c r="U35" s="5"/>
      <c r="V35" s="7"/>
      <c r="W35" s="51"/>
      <c r="X35" s="52"/>
      <c r="Y35" s="53"/>
      <c r="Z35" s="12"/>
      <c r="AA35" s="12"/>
      <c r="AB35" s="11"/>
      <c r="AC35" s="11"/>
      <c r="AD35" s="2"/>
      <c r="AE35" s="2"/>
    </row>
    <row r="36" spans="1:31">
      <c r="A36" s="2"/>
      <c r="B36" s="33" t="s">
        <v>4</v>
      </c>
      <c r="C36" s="31"/>
      <c r="D36" s="31"/>
      <c r="E36" s="31"/>
      <c r="F36" s="31"/>
      <c r="G36" s="31"/>
      <c r="H36" s="31"/>
      <c r="I36" s="34">
        <f t="shared" ref="I36:K36" si="17">I37+I38</f>
        <v>19140000</v>
      </c>
      <c r="J36" s="34">
        <f t="shared" si="17"/>
        <v>19140000</v>
      </c>
      <c r="K36" s="34">
        <f t="shared" si="17"/>
        <v>19140000</v>
      </c>
      <c r="L36" s="34">
        <f>L37+L38</f>
        <v>57420000</v>
      </c>
      <c r="M36" s="34">
        <f>M37+M38</f>
        <v>76560000</v>
      </c>
      <c r="N36" s="34">
        <f>N37+N38</f>
        <v>76560000</v>
      </c>
      <c r="O36" s="34">
        <f>O37+O38</f>
        <v>76560000</v>
      </c>
      <c r="P36" s="34">
        <f>P37+P38</f>
        <v>76560000</v>
      </c>
      <c r="Q36" s="5"/>
      <c r="R36" s="5"/>
      <c r="S36" s="32" t="s">
        <v>65</v>
      </c>
      <c r="T36" s="32">
        <v>13000000</v>
      </c>
      <c r="U36" s="5"/>
      <c r="V36" s="7"/>
      <c r="W36" s="51" t="s">
        <v>78</v>
      </c>
      <c r="X36" s="52">
        <v>2</v>
      </c>
      <c r="Y36" s="53">
        <f>X36*50000</f>
        <v>100000</v>
      </c>
      <c r="Z36" s="12"/>
      <c r="AA36" s="12"/>
      <c r="AB36" s="11"/>
      <c r="AC36" s="11"/>
      <c r="AD36" s="2"/>
      <c r="AE36" s="2"/>
    </row>
    <row r="37" spans="1:31">
      <c r="A37" s="2"/>
      <c r="B37" s="35" t="s">
        <v>5</v>
      </c>
      <c r="C37" s="31"/>
      <c r="D37" s="31"/>
      <c r="E37" s="31"/>
      <c r="F37" s="31"/>
      <c r="G37" s="31"/>
      <c r="H37" s="31"/>
      <c r="I37" s="31">
        <v>13200000</v>
      </c>
      <c r="J37" s="31">
        <v>13200000</v>
      </c>
      <c r="K37" s="31">
        <v>13200000</v>
      </c>
      <c r="L37" s="32">
        <f>SUM(I37:K37)</f>
        <v>39600000</v>
      </c>
      <c r="M37" s="32">
        <f>Y37*12</f>
        <v>52800000</v>
      </c>
      <c r="N37" s="32">
        <f>Y37*12</f>
        <v>52800000</v>
      </c>
      <c r="O37" s="32">
        <f t="shared" ref="O37:P37" si="18">M37</f>
        <v>52800000</v>
      </c>
      <c r="P37" s="32">
        <f t="shared" si="18"/>
        <v>52800000</v>
      </c>
      <c r="Q37" s="5"/>
      <c r="R37" s="5"/>
      <c r="S37" s="32" t="s">
        <v>9</v>
      </c>
      <c r="T37" s="32">
        <v>1500000</v>
      </c>
      <c r="U37" s="5"/>
      <c r="V37" s="7"/>
      <c r="W37" s="54" t="s">
        <v>15</v>
      </c>
      <c r="X37" s="55"/>
      <c r="Y37" s="50">
        <f>SUM(Y6:Y36,AC6,AC7,AC8,AC9)</f>
        <v>4400000</v>
      </c>
      <c r="Z37" s="12" t="s">
        <v>19</v>
      </c>
      <c r="AA37" s="12"/>
      <c r="AB37" s="11"/>
      <c r="AC37" s="11"/>
      <c r="AD37" s="2"/>
      <c r="AE37" s="2"/>
    </row>
    <row r="38" spans="1:31">
      <c r="A38" s="2"/>
      <c r="B38" s="35" t="s">
        <v>6</v>
      </c>
      <c r="C38" s="31"/>
      <c r="D38" s="31"/>
      <c r="E38" s="32"/>
      <c r="F38" s="32"/>
      <c r="G38" s="31"/>
      <c r="H38" s="32">
        <f t="shared" ref="H38:K38" si="19">H37*0.45</f>
        <v>0</v>
      </c>
      <c r="I38" s="32">
        <f t="shared" si="19"/>
        <v>5940000</v>
      </c>
      <c r="J38" s="32">
        <f t="shared" si="19"/>
        <v>5940000</v>
      </c>
      <c r="K38" s="32">
        <f t="shared" si="19"/>
        <v>5940000</v>
      </c>
      <c r="L38" s="32">
        <f>L37*0.45</f>
        <v>17820000</v>
      </c>
      <c r="M38" s="32">
        <f>M37*0.45</f>
        <v>23760000</v>
      </c>
      <c r="N38" s="32">
        <f>N37*0.45</f>
        <v>23760000</v>
      </c>
      <c r="O38" s="32">
        <f>O37*0.45</f>
        <v>23760000</v>
      </c>
      <c r="P38" s="32">
        <f>P37*0.45</f>
        <v>23760000</v>
      </c>
      <c r="Q38" s="5"/>
      <c r="R38" s="5"/>
      <c r="S38" s="32" t="s">
        <v>31</v>
      </c>
      <c r="T38" s="32">
        <v>500000</v>
      </c>
      <c r="U38" s="5"/>
      <c r="V38" s="7"/>
      <c r="W38" s="45" t="s">
        <v>82</v>
      </c>
      <c r="X38" s="46"/>
      <c r="Y38" s="47"/>
      <c r="Z38" s="12"/>
      <c r="AA38" s="12"/>
      <c r="AB38" s="11"/>
      <c r="AC38" s="11"/>
      <c r="AD38" s="2"/>
      <c r="AE38" s="2"/>
    </row>
    <row r="39" spans="1:31">
      <c r="A39" s="2"/>
      <c r="B39" s="83" t="s">
        <v>7</v>
      </c>
      <c r="C39" s="84"/>
      <c r="D39" s="85">
        <f t="shared" ref="D39:K39" si="20">D41+D44+D47+D40</f>
        <v>0</v>
      </c>
      <c r="E39" s="85">
        <f t="shared" si="20"/>
        <v>1237500</v>
      </c>
      <c r="F39" s="85">
        <f t="shared" si="20"/>
        <v>1237500</v>
      </c>
      <c r="G39" s="85">
        <f t="shared" si="20"/>
        <v>2475000</v>
      </c>
      <c r="H39" s="85">
        <f t="shared" si="20"/>
        <v>1537500</v>
      </c>
      <c r="I39" s="85">
        <f t="shared" si="20"/>
        <v>10501500</v>
      </c>
      <c r="J39" s="85">
        <f t="shared" si="20"/>
        <v>10501500</v>
      </c>
      <c r="K39" s="85">
        <f t="shared" si="20"/>
        <v>10501500</v>
      </c>
      <c r="L39" s="85">
        <f>L41+L44+L47+L40</f>
        <v>33042000</v>
      </c>
      <c r="M39" s="85">
        <f>M41+M44+M47+M40</f>
        <v>29542000</v>
      </c>
      <c r="N39" s="85">
        <f>N41+N44+N47+N40</f>
        <v>29542000</v>
      </c>
      <c r="O39" s="85">
        <f>O41+O44+O47+O40</f>
        <v>29542000</v>
      </c>
      <c r="P39" s="85">
        <f>P41+P44+P47+P40</f>
        <v>29542000</v>
      </c>
      <c r="Q39" s="5"/>
      <c r="R39" s="5"/>
      <c r="S39" s="56" t="s">
        <v>15</v>
      </c>
      <c r="T39" s="57">
        <f>SUM(T7:T38)</f>
        <v>336100000</v>
      </c>
      <c r="U39" s="5"/>
      <c r="V39" s="7"/>
      <c r="W39" s="44" t="s">
        <v>83</v>
      </c>
      <c r="X39" s="31"/>
      <c r="Y39" s="42">
        <v>500000</v>
      </c>
      <c r="Z39" s="12"/>
      <c r="AA39" s="12"/>
      <c r="AB39" s="11"/>
      <c r="AC39" s="11"/>
      <c r="AD39" s="2"/>
      <c r="AE39" s="2"/>
    </row>
    <row r="40" spans="1:31">
      <c r="A40" s="2"/>
      <c r="B40" s="31" t="s">
        <v>2</v>
      </c>
      <c r="C40" s="31"/>
      <c r="D40" s="31"/>
      <c r="E40" s="31"/>
      <c r="F40" s="31"/>
      <c r="G40" s="31"/>
      <c r="H40" s="31"/>
      <c r="I40" s="31">
        <v>600000</v>
      </c>
      <c r="J40" s="31">
        <v>600000</v>
      </c>
      <c r="K40" s="31">
        <v>600000</v>
      </c>
      <c r="L40" s="32">
        <f>SUM(I40:K40)</f>
        <v>1800000</v>
      </c>
      <c r="M40" s="32">
        <v>2400000</v>
      </c>
      <c r="N40" s="32">
        <v>2400000</v>
      </c>
      <c r="O40" s="32">
        <v>2400000</v>
      </c>
      <c r="P40" s="32">
        <v>2400000</v>
      </c>
      <c r="Q40" s="5"/>
      <c r="R40" s="5"/>
      <c r="S40" s="5"/>
      <c r="T40" s="5"/>
      <c r="U40" s="7"/>
      <c r="V40" s="7"/>
      <c r="W40" s="44" t="s">
        <v>84</v>
      </c>
      <c r="X40" s="31"/>
      <c r="Y40" s="42">
        <v>150000</v>
      </c>
      <c r="Z40" s="12"/>
      <c r="AA40" s="12"/>
      <c r="AB40" s="11"/>
      <c r="AC40" s="11"/>
      <c r="AD40" s="2"/>
      <c r="AE40" s="2"/>
    </row>
    <row r="41" spans="1:31">
      <c r="A41" s="2"/>
      <c r="B41" s="31" t="s">
        <v>8</v>
      </c>
      <c r="C41" s="31"/>
      <c r="D41" s="31"/>
      <c r="E41" s="34">
        <f t="shared" ref="E41:K41" si="21">E42+E43</f>
        <v>1087500</v>
      </c>
      <c r="F41" s="34">
        <f t="shared" si="21"/>
        <v>1087500</v>
      </c>
      <c r="G41" s="34">
        <f t="shared" si="21"/>
        <v>2175000</v>
      </c>
      <c r="H41" s="34">
        <f t="shared" si="21"/>
        <v>1087500</v>
      </c>
      <c r="I41" s="34">
        <f t="shared" si="21"/>
        <v>7351500</v>
      </c>
      <c r="J41" s="34">
        <f t="shared" si="21"/>
        <v>7351500</v>
      </c>
      <c r="K41" s="34">
        <f t="shared" si="21"/>
        <v>7351500</v>
      </c>
      <c r="L41" s="34">
        <f>L42+L43</f>
        <v>23142000</v>
      </c>
      <c r="M41" s="34">
        <f>M42+M43</f>
        <v>23142000</v>
      </c>
      <c r="N41" s="34">
        <f>N42+N43</f>
        <v>23142000</v>
      </c>
      <c r="O41" s="34">
        <f>O42+O43</f>
        <v>23142000</v>
      </c>
      <c r="P41" s="34">
        <f>P42+P43</f>
        <v>23142000</v>
      </c>
      <c r="Q41" s="5"/>
      <c r="R41" s="5"/>
      <c r="S41" s="5"/>
      <c r="T41" s="5"/>
      <c r="U41" s="7"/>
      <c r="V41" s="7"/>
      <c r="W41" s="44" t="s">
        <v>85</v>
      </c>
      <c r="X41" s="31"/>
      <c r="Y41" s="42">
        <v>70000</v>
      </c>
      <c r="Z41" s="12"/>
      <c r="AA41" s="12"/>
      <c r="AB41" s="11"/>
      <c r="AC41" s="11"/>
      <c r="AD41" s="2"/>
      <c r="AE41" s="2"/>
    </row>
    <row r="42" spans="1:31">
      <c r="A42" s="2"/>
      <c r="B42" s="35" t="s">
        <v>5</v>
      </c>
      <c r="C42" s="31"/>
      <c r="D42" s="31"/>
      <c r="E42" s="31">
        <v>750000</v>
      </c>
      <c r="F42" s="31">
        <v>750000</v>
      </c>
      <c r="G42" s="31">
        <f>SUM(E42:F42)</f>
        <v>1500000</v>
      </c>
      <c r="H42" s="31">
        <v>750000</v>
      </c>
      <c r="I42" s="31">
        <v>5070000</v>
      </c>
      <c r="J42" s="31">
        <v>5070000</v>
      </c>
      <c r="K42" s="31">
        <v>5070000</v>
      </c>
      <c r="L42" s="32">
        <f>SUM(H42:K42)</f>
        <v>15960000</v>
      </c>
      <c r="M42" s="32">
        <f>L42</f>
        <v>15960000</v>
      </c>
      <c r="N42" s="32">
        <f t="shared" ref="N42:P42" si="22">M42</f>
        <v>15960000</v>
      </c>
      <c r="O42" s="32">
        <f t="shared" si="22"/>
        <v>15960000</v>
      </c>
      <c r="P42" s="32">
        <f t="shared" si="22"/>
        <v>15960000</v>
      </c>
      <c r="Q42" s="5"/>
      <c r="R42" s="5"/>
      <c r="S42" s="2"/>
      <c r="T42" s="5"/>
      <c r="U42" s="7"/>
      <c r="V42" s="7"/>
      <c r="W42" s="44" t="s">
        <v>86</v>
      </c>
      <c r="X42" s="31"/>
      <c r="Y42" s="42">
        <v>300000</v>
      </c>
      <c r="Z42" s="12"/>
      <c r="AA42" s="12"/>
      <c r="AB42" s="11"/>
      <c r="AC42" s="11"/>
      <c r="AD42" s="2"/>
      <c r="AE42" s="2"/>
    </row>
    <row r="43" spans="1:31">
      <c r="A43" s="2"/>
      <c r="B43" s="35" t="s">
        <v>6</v>
      </c>
      <c r="C43" s="31"/>
      <c r="D43" s="31"/>
      <c r="E43" s="32">
        <f t="shared" ref="E43:K43" si="23">E42*0.45</f>
        <v>337500</v>
      </c>
      <c r="F43" s="32">
        <f t="shared" si="23"/>
        <v>337500</v>
      </c>
      <c r="G43" s="32">
        <f t="shared" si="23"/>
        <v>675000</v>
      </c>
      <c r="H43" s="32">
        <f t="shared" si="23"/>
        <v>337500</v>
      </c>
      <c r="I43" s="32">
        <f t="shared" si="23"/>
        <v>2281500</v>
      </c>
      <c r="J43" s="32">
        <f t="shared" si="23"/>
        <v>2281500</v>
      </c>
      <c r="K43" s="32">
        <f t="shared" si="23"/>
        <v>2281500</v>
      </c>
      <c r="L43" s="32">
        <f>L42*0.45</f>
        <v>7182000</v>
      </c>
      <c r="M43" s="32">
        <f>M42*0.45</f>
        <v>7182000</v>
      </c>
      <c r="N43" s="32">
        <f t="shared" ref="N43:P43" si="24">N42*0.45</f>
        <v>7182000</v>
      </c>
      <c r="O43" s="32">
        <f t="shared" si="24"/>
        <v>7182000</v>
      </c>
      <c r="P43" s="32">
        <f t="shared" si="24"/>
        <v>7182000</v>
      </c>
      <c r="Q43" s="5"/>
      <c r="R43" s="5"/>
      <c r="S43" s="5"/>
      <c r="T43" s="5"/>
      <c r="U43" s="7"/>
      <c r="V43" s="7"/>
      <c r="W43" s="44" t="s">
        <v>87</v>
      </c>
      <c r="X43" s="31"/>
      <c r="Y43" s="42">
        <v>80000</v>
      </c>
      <c r="Z43" s="12"/>
      <c r="AA43" s="12"/>
      <c r="AB43" s="11"/>
      <c r="AC43" s="11"/>
      <c r="AD43" s="2"/>
      <c r="AE43" s="2"/>
    </row>
    <row r="44" spans="1:31">
      <c r="A44" s="2"/>
      <c r="B44" s="92" t="s">
        <v>93</v>
      </c>
      <c r="C44" s="92"/>
      <c r="D44" s="93">
        <f t="shared" ref="D44:K44" si="25">D45+D46</f>
        <v>0</v>
      </c>
      <c r="E44" s="93">
        <f t="shared" si="25"/>
        <v>150000</v>
      </c>
      <c r="F44" s="93">
        <f t="shared" si="25"/>
        <v>150000</v>
      </c>
      <c r="G44" s="93">
        <f t="shared" si="25"/>
        <v>300000</v>
      </c>
      <c r="H44" s="93">
        <f t="shared" si="25"/>
        <v>450000</v>
      </c>
      <c r="I44" s="93">
        <f t="shared" si="25"/>
        <v>450000</v>
      </c>
      <c r="J44" s="93">
        <f t="shared" si="25"/>
        <v>450000</v>
      </c>
      <c r="K44" s="93">
        <f t="shared" si="25"/>
        <v>450000</v>
      </c>
      <c r="L44" s="93">
        <f>L45+L46</f>
        <v>1800000</v>
      </c>
      <c r="M44" s="93">
        <f>M45+M46</f>
        <v>1800000</v>
      </c>
      <c r="N44" s="93">
        <f>N45+N46</f>
        <v>1800000</v>
      </c>
      <c r="O44" s="93">
        <f>O45+O46</f>
        <v>1800000</v>
      </c>
      <c r="P44" s="93">
        <f>P45+P46</f>
        <v>1800000</v>
      </c>
      <c r="Q44" s="5"/>
      <c r="R44" s="5"/>
      <c r="S44" s="2"/>
      <c r="T44" s="5"/>
      <c r="U44" s="7"/>
      <c r="V44" s="7"/>
      <c r="W44" s="44" t="s">
        <v>88</v>
      </c>
      <c r="X44" s="31"/>
      <c r="Y44" s="42">
        <v>70000</v>
      </c>
      <c r="Z44" s="12"/>
      <c r="AA44" s="12"/>
      <c r="AB44" s="11"/>
      <c r="AC44" s="11"/>
      <c r="AD44" s="2"/>
      <c r="AE44" s="2"/>
    </row>
    <row r="45" spans="1:31">
      <c r="A45" s="2"/>
      <c r="B45" s="35" t="s">
        <v>9</v>
      </c>
      <c r="C45" s="31"/>
      <c r="D45" s="31"/>
      <c r="E45" s="31">
        <v>150000</v>
      </c>
      <c r="F45" s="31">
        <v>150000</v>
      </c>
      <c r="G45" s="31">
        <f>SUM(E45:F45)</f>
        <v>300000</v>
      </c>
      <c r="H45" s="31">
        <v>150000</v>
      </c>
      <c r="I45" s="31">
        <v>150000</v>
      </c>
      <c r="J45" s="31">
        <v>150000</v>
      </c>
      <c r="K45" s="31">
        <v>150000</v>
      </c>
      <c r="L45" s="32">
        <f>SUM(H45:K45)</f>
        <v>600000</v>
      </c>
      <c r="M45" s="32">
        <f>L45</f>
        <v>600000</v>
      </c>
      <c r="N45" s="32">
        <f t="shared" ref="N45:P46" si="26">M45</f>
        <v>600000</v>
      </c>
      <c r="O45" s="32">
        <f t="shared" si="26"/>
        <v>600000</v>
      </c>
      <c r="P45" s="32">
        <f t="shared" si="26"/>
        <v>600000</v>
      </c>
      <c r="Q45" s="5"/>
      <c r="R45" s="5"/>
      <c r="S45" s="2"/>
      <c r="T45" s="5"/>
      <c r="U45" s="7"/>
      <c r="V45" s="7"/>
      <c r="W45" s="44" t="s">
        <v>89</v>
      </c>
      <c r="X45" s="31"/>
      <c r="Y45" s="42">
        <v>200000</v>
      </c>
      <c r="Z45" s="12"/>
      <c r="AA45" s="12"/>
      <c r="AB45" s="11"/>
      <c r="AC45" s="11"/>
      <c r="AD45" s="2"/>
      <c r="AE45" s="2"/>
    </row>
    <row r="46" spans="1:31">
      <c r="A46" s="2"/>
      <c r="B46" s="35" t="s">
        <v>10</v>
      </c>
      <c r="C46" s="31"/>
      <c r="D46" s="31"/>
      <c r="E46" s="31"/>
      <c r="F46" s="31"/>
      <c r="G46" s="31"/>
      <c r="H46" s="31">
        <v>300000</v>
      </c>
      <c r="I46" s="31">
        <v>300000</v>
      </c>
      <c r="J46" s="31">
        <v>300000</v>
      </c>
      <c r="K46" s="31">
        <v>300000</v>
      </c>
      <c r="L46" s="32">
        <f>SUM(H46:K46)</f>
        <v>1200000</v>
      </c>
      <c r="M46" s="32">
        <v>1200000</v>
      </c>
      <c r="N46" s="32">
        <f t="shared" si="26"/>
        <v>1200000</v>
      </c>
      <c r="O46" s="32">
        <f t="shared" si="26"/>
        <v>1200000</v>
      </c>
      <c r="P46" s="32">
        <f t="shared" si="26"/>
        <v>1200000</v>
      </c>
      <c r="Q46" s="5"/>
      <c r="R46" s="5"/>
      <c r="S46" s="2"/>
      <c r="T46" s="5"/>
      <c r="U46" s="7"/>
      <c r="V46" s="7"/>
      <c r="W46" s="44" t="s">
        <v>90</v>
      </c>
      <c r="X46" s="31"/>
      <c r="Y46" s="42">
        <v>70000</v>
      </c>
      <c r="Z46" s="12"/>
      <c r="AA46" s="12"/>
      <c r="AB46" s="11"/>
      <c r="AC46" s="11"/>
      <c r="AD46" s="2"/>
      <c r="AE46" s="2"/>
    </row>
    <row r="47" spans="1:31">
      <c r="A47" s="2"/>
      <c r="B47" s="90" t="s">
        <v>11</v>
      </c>
      <c r="C47" s="91"/>
      <c r="D47" s="91"/>
      <c r="E47" s="91"/>
      <c r="F47" s="91"/>
      <c r="G47" s="91"/>
      <c r="H47" s="91"/>
      <c r="I47" s="91">
        <v>2100000</v>
      </c>
      <c r="J47" s="91">
        <v>2100000</v>
      </c>
      <c r="K47" s="91">
        <v>2100000</v>
      </c>
      <c r="L47" s="100">
        <f>SUM(H47:K47)</f>
        <v>6300000</v>
      </c>
      <c r="M47" s="91">
        <v>2200000</v>
      </c>
      <c r="N47" s="91">
        <v>2200000</v>
      </c>
      <c r="O47" s="91">
        <v>2200000</v>
      </c>
      <c r="P47" s="91">
        <v>2200000</v>
      </c>
      <c r="Q47" s="5"/>
      <c r="R47" s="5"/>
      <c r="S47" s="2"/>
      <c r="T47" s="5"/>
      <c r="U47" s="7"/>
      <c r="V47" s="7"/>
      <c r="W47" s="44" t="s">
        <v>91</v>
      </c>
      <c r="X47" s="31"/>
      <c r="Y47" s="42">
        <v>100000</v>
      </c>
      <c r="Z47" s="12"/>
      <c r="AA47" s="12"/>
      <c r="AB47" s="11"/>
      <c r="AC47" s="11"/>
      <c r="AD47" s="2"/>
      <c r="AE47" s="2"/>
    </row>
    <row r="48" spans="1:31">
      <c r="A48" s="2"/>
      <c r="B48" s="31" t="s">
        <v>12</v>
      </c>
      <c r="C48" s="31"/>
      <c r="D48" s="31"/>
      <c r="E48" s="34">
        <f>E5-E12</f>
        <v>9512500</v>
      </c>
      <c r="F48" s="34">
        <f t="shared" ref="F48:G48" si="27">F5-F12</f>
        <v>5512500</v>
      </c>
      <c r="G48" s="34">
        <f t="shared" si="27"/>
        <v>15025000</v>
      </c>
      <c r="H48" s="34">
        <f t="shared" ref="H48:P48" si="28">H6-H12</f>
        <v>712500</v>
      </c>
      <c r="I48" s="34">
        <f t="shared" si="28"/>
        <v>51712500</v>
      </c>
      <c r="J48" s="34">
        <f t="shared" si="28"/>
        <v>55312500</v>
      </c>
      <c r="K48" s="34">
        <f t="shared" si="28"/>
        <v>65012500</v>
      </c>
      <c r="L48" s="34">
        <f t="shared" si="28"/>
        <v>177750000</v>
      </c>
      <c r="M48" s="34">
        <f t="shared" si="28"/>
        <v>293124530.6122449</v>
      </c>
      <c r="N48" s="34">
        <f t="shared" si="28"/>
        <v>273924530.6122449</v>
      </c>
      <c r="O48" s="34">
        <f t="shared" si="28"/>
        <v>273924530.6122449</v>
      </c>
      <c r="P48" s="34">
        <f t="shared" si="28"/>
        <v>273924530.6122449</v>
      </c>
      <c r="Q48" s="5"/>
      <c r="R48" s="5"/>
      <c r="S48" s="2"/>
      <c r="T48" s="5"/>
      <c r="U48" s="7"/>
      <c r="V48" s="7"/>
      <c r="W48" s="44" t="s">
        <v>92</v>
      </c>
      <c r="X48" s="31"/>
      <c r="Y48" s="42">
        <v>150000</v>
      </c>
      <c r="Z48" s="12"/>
      <c r="AA48" s="12"/>
      <c r="AB48" s="11"/>
      <c r="AC48" s="11"/>
      <c r="AD48" s="2"/>
      <c r="AE48" s="2"/>
    </row>
    <row r="49" spans="1:31">
      <c r="A49" s="2"/>
      <c r="B49" s="36" t="s">
        <v>13</v>
      </c>
      <c r="C49" s="31"/>
      <c r="D49" s="31"/>
      <c r="E49" s="31"/>
      <c r="F49" s="31"/>
      <c r="G49" s="31"/>
      <c r="H49" s="31"/>
      <c r="I49" s="31"/>
      <c r="J49" s="31"/>
      <c r="K49" s="31"/>
      <c r="L49" s="34"/>
      <c r="M49" s="34"/>
      <c r="N49" s="34"/>
      <c r="O49" s="34"/>
      <c r="P49" s="34"/>
      <c r="Q49" s="5"/>
      <c r="R49" s="5"/>
      <c r="S49" s="2"/>
      <c r="T49" s="5"/>
      <c r="U49" s="7"/>
      <c r="V49" s="7"/>
      <c r="W49" s="48" t="s">
        <v>15</v>
      </c>
      <c r="X49" s="49"/>
      <c r="Y49" s="50">
        <f>SUM(Y39:Y48)</f>
        <v>1690000</v>
      </c>
      <c r="Z49" s="12"/>
      <c r="AA49" s="12"/>
      <c r="AB49" s="11"/>
      <c r="AC49" s="11"/>
      <c r="AD49" s="2"/>
      <c r="AE49" s="2"/>
    </row>
    <row r="50" spans="1:31">
      <c r="A50" s="2"/>
      <c r="B50" s="36" t="s">
        <v>60</v>
      </c>
      <c r="C50" s="31"/>
      <c r="D50" s="31"/>
      <c r="E50" s="31"/>
      <c r="F50" s="31"/>
      <c r="G50" s="31"/>
      <c r="H50" s="31"/>
      <c r="I50" s="31">
        <v>18000000</v>
      </c>
      <c r="J50" s="31">
        <v>18000000</v>
      </c>
      <c r="K50" s="31">
        <v>18000000</v>
      </c>
      <c r="L50" s="34">
        <f>SUM(I50:K50)</f>
        <v>54000000</v>
      </c>
      <c r="M50" s="34">
        <v>0</v>
      </c>
      <c r="N50" s="34">
        <v>0</v>
      </c>
      <c r="O50" s="34">
        <v>0</v>
      </c>
      <c r="P50" s="34">
        <v>0</v>
      </c>
      <c r="Q50" s="5"/>
      <c r="R50" s="5"/>
      <c r="S50" s="5"/>
      <c r="T50" s="5"/>
      <c r="U50" s="7"/>
      <c r="V50" s="7"/>
      <c r="W50" s="7"/>
      <c r="X50" s="2"/>
      <c r="Y50" s="12"/>
      <c r="Z50" s="12"/>
      <c r="AA50" s="12"/>
      <c r="AB50" s="11"/>
      <c r="AC50" s="11"/>
      <c r="AD50" s="2"/>
      <c r="AE50" s="2"/>
    </row>
    <row r="51" spans="1:31">
      <c r="A51" s="2"/>
      <c r="B51" s="36" t="s">
        <v>133</v>
      </c>
      <c r="C51" s="31"/>
      <c r="D51" s="31"/>
      <c r="E51" s="31">
        <v>15000000</v>
      </c>
      <c r="F51" s="31"/>
      <c r="G51" s="31">
        <f>SUM(D51:F51)</f>
        <v>15000000</v>
      </c>
      <c r="H51" s="31"/>
      <c r="I51" s="31"/>
      <c r="J51" s="31"/>
      <c r="K51" s="31"/>
      <c r="L51" s="34"/>
      <c r="M51" s="34"/>
      <c r="N51" s="34"/>
      <c r="O51" s="34"/>
      <c r="P51" s="34"/>
      <c r="Q51" s="5"/>
      <c r="R51" s="5"/>
      <c r="S51" s="5"/>
      <c r="T51" s="5"/>
      <c r="U51" s="7"/>
      <c r="V51" s="7"/>
      <c r="W51" s="7"/>
      <c r="X51" s="2"/>
      <c r="Y51" s="12"/>
      <c r="Z51" s="12"/>
      <c r="AA51" s="12"/>
      <c r="AB51" s="11"/>
      <c r="AC51" s="11"/>
      <c r="AD51" s="2"/>
      <c r="AE51" s="2"/>
    </row>
    <row r="52" spans="1:31">
      <c r="A52" s="2"/>
      <c r="B52" s="31" t="s">
        <v>14</v>
      </c>
      <c r="C52" s="31"/>
      <c r="D52" s="31"/>
      <c r="E52" s="31"/>
      <c r="F52" s="31"/>
      <c r="G52" s="31"/>
      <c r="H52" s="31"/>
      <c r="I52" s="31">
        <v>12091000</v>
      </c>
      <c r="J52" s="31">
        <f>(L62-I53)*0.17/4</f>
        <v>11478825</v>
      </c>
      <c r="K52" s="31">
        <f>(L62-I53-J53)*0.17/4</f>
        <v>10866400</v>
      </c>
      <c r="L52" s="34">
        <f>SUM(I52:K52)</f>
        <v>34436225</v>
      </c>
      <c r="M52" s="34">
        <f>(L62-L53)*0.17</f>
        <v>41015900</v>
      </c>
      <c r="N52" s="34">
        <f>(U12-M53-L53)*0.17</f>
        <v>31217100.000000004</v>
      </c>
      <c r="O52" s="34">
        <f>(U12-L53-M53-N53)*0.17</f>
        <v>21418300</v>
      </c>
      <c r="P52" s="34">
        <f>(U12-P53*4)*0.17</f>
        <v>9169800</v>
      </c>
      <c r="Q52" s="5"/>
      <c r="R52" s="5"/>
      <c r="S52" s="5"/>
      <c r="T52" s="5"/>
      <c r="U52" s="7"/>
      <c r="V52" s="7"/>
      <c r="W52" s="7"/>
      <c r="X52" s="2"/>
      <c r="Y52" s="12"/>
      <c r="Z52" s="12"/>
      <c r="AA52" s="12"/>
      <c r="AB52" s="11"/>
      <c r="AC52" s="11"/>
      <c r="AD52" s="2"/>
      <c r="AE52" s="2"/>
    </row>
    <row r="53" spans="1:31">
      <c r="A53" s="2"/>
      <c r="B53" s="31" t="s">
        <v>59</v>
      </c>
      <c r="C53" s="31"/>
      <c r="D53" s="31"/>
      <c r="E53" s="31"/>
      <c r="F53" s="31"/>
      <c r="G53" s="31"/>
      <c r="H53" s="31"/>
      <c r="I53" s="31">
        <v>14410000</v>
      </c>
      <c r="J53" s="31">
        <v>14410000</v>
      </c>
      <c r="K53" s="31">
        <v>14410000</v>
      </c>
      <c r="L53" s="34">
        <f>SUM(I53:K53)</f>
        <v>43230000</v>
      </c>
      <c r="M53" s="34">
        <v>57640000</v>
      </c>
      <c r="N53" s="34">
        <f>M53</f>
        <v>57640000</v>
      </c>
      <c r="O53" s="34">
        <f t="shared" ref="O53:P53" si="29">N53</f>
        <v>57640000</v>
      </c>
      <c r="P53" s="34">
        <f t="shared" si="29"/>
        <v>57640000</v>
      </c>
      <c r="Q53" s="5"/>
      <c r="R53" s="5"/>
      <c r="S53" s="5"/>
      <c r="T53" s="5"/>
      <c r="U53" s="7"/>
      <c r="V53" s="7"/>
      <c r="W53" s="7"/>
      <c r="X53" s="2"/>
      <c r="Y53" s="12"/>
      <c r="Z53" s="12"/>
      <c r="AA53" s="12"/>
      <c r="AB53" s="11"/>
      <c r="AC53" s="11"/>
      <c r="AD53" s="2"/>
      <c r="AE53" s="2"/>
    </row>
    <row r="54" spans="1:31">
      <c r="A54" s="2"/>
      <c r="B54" s="36"/>
      <c r="C54" s="31"/>
      <c r="D54" s="31"/>
      <c r="E54" s="31"/>
      <c r="F54" s="31"/>
      <c r="G54" s="31"/>
      <c r="H54" s="31"/>
      <c r="I54" s="31"/>
      <c r="J54" s="31"/>
      <c r="K54" s="31"/>
      <c r="L54" s="34"/>
      <c r="M54" s="34"/>
      <c r="N54" s="34"/>
      <c r="O54" s="34"/>
      <c r="P54" s="34"/>
      <c r="Q54" s="5"/>
      <c r="R54" s="5"/>
      <c r="S54" s="5"/>
      <c r="T54" s="5"/>
      <c r="U54" s="7"/>
      <c r="V54" s="7"/>
      <c r="W54" s="7"/>
      <c r="X54" s="2"/>
      <c r="Y54" s="12"/>
      <c r="Z54" s="12"/>
      <c r="AA54" s="12"/>
      <c r="AB54" s="11"/>
      <c r="AC54" s="11"/>
      <c r="AD54" s="2"/>
      <c r="AE54" s="2"/>
    </row>
    <row r="55" spans="1:31">
      <c r="A55" s="2"/>
      <c r="B55" s="37" t="s">
        <v>66</v>
      </c>
      <c r="C55" s="31"/>
      <c r="D55" s="31"/>
      <c r="E55" s="31">
        <f t="shared" ref="E55:G55" si="30">D6*1.1*0.05</f>
        <v>0</v>
      </c>
      <c r="F55" s="31">
        <f t="shared" si="30"/>
        <v>495000</v>
      </c>
      <c r="G55" s="31">
        <f t="shared" si="30"/>
        <v>495000</v>
      </c>
      <c r="H55" s="31">
        <f>H6*1.1*0.05</f>
        <v>495000</v>
      </c>
      <c r="I55" s="31">
        <f t="shared" ref="I55:K55" si="31">I6*1.1*0.05</f>
        <v>6303000.0000000009</v>
      </c>
      <c r="J55" s="31">
        <f t="shared" si="31"/>
        <v>6303000.0000000009</v>
      </c>
      <c r="K55" s="31">
        <f t="shared" si="31"/>
        <v>6303000.0000000009</v>
      </c>
      <c r="L55" s="31">
        <f>L6*1.1*0.05</f>
        <v>19404000.000000004</v>
      </c>
      <c r="M55" s="31">
        <f>M6*1.1*0.05</f>
        <v>25850000.000000004</v>
      </c>
      <c r="N55" s="31">
        <f t="shared" ref="N55:P55" si="32">N6*1.1*0.05</f>
        <v>25850000.000000004</v>
      </c>
      <c r="O55" s="31">
        <f t="shared" si="32"/>
        <v>25850000.000000004</v>
      </c>
      <c r="P55" s="31">
        <f t="shared" si="32"/>
        <v>25850000.000000004</v>
      </c>
      <c r="Q55" s="5"/>
      <c r="R55" s="5"/>
      <c r="S55" s="5"/>
      <c r="T55" s="5"/>
      <c r="U55" s="7"/>
      <c r="V55" s="7"/>
      <c r="W55" s="7"/>
      <c r="X55" s="2"/>
      <c r="Y55" s="11"/>
      <c r="Z55" s="11"/>
      <c r="AA55" s="11"/>
      <c r="AB55" s="11"/>
      <c r="AC55" s="11"/>
      <c r="AD55" s="2"/>
      <c r="AE55" s="2"/>
    </row>
    <row r="56" spans="1:31" ht="15.6">
      <c r="A56" s="2"/>
      <c r="B56" s="58" t="s">
        <v>15</v>
      </c>
      <c r="C56" s="59"/>
      <c r="D56" s="60">
        <f t="shared" ref="D56" si="33">D48-D50-D52-D53-D54-D55</f>
        <v>0</v>
      </c>
      <c r="E56" s="60">
        <f>E48-E50-E52-E53-E54-E55-E51</f>
        <v>-5487500</v>
      </c>
      <c r="F56" s="60">
        <f t="shared" ref="F56:G56" si="34">F48-F50-F52-F53-F54-F55-F51</f>
        <v>5017500</v>
      </c>
      <c r="G56" s="60">
        <f t="shared" si="34"/>
        <v>-470000</v>
      </c>
      <c r="H56" s="60">
        <f>H48-H50-H52-H53-H54-H55</f>
        <v>217500</v>
      </c>
      <c r="I56" s="60">
        <f>I48-I50-I52-I53-I54-I55</f>
        <v>908499.99999999907</v>
      </c>
      <c r="J56" s="60">
        <f>J48-J50-J52-J53-J54-J55</f>
        <v>5120674.9999999991</v>
      </c>
      <c r="K56" s="60">
        <f t="shared" ref="K56:P56" si="35">K48-K50-K52-K53-K54-K55</f>
        <v>15433100</v>
      </c>
      <c r="L56" s="60">
        <f t="shared" si="35"/>
        <v>26679774.999999996</v>
      </c>
      <c r="M56" s="60">
        <f t="shared" si="35"/>
        <v>168618630.6122449</v>
      </c>
      <c r="N56" s="60">
        <f t="shared" si="35"/>
        <v>159217430.6122449</v>
      </c>
      <c r="O56" s="60">
        <f t="shared" si="35"/>
        <v>169016230.6122449</v>
      </c>
      <c r="P56" s="60">
        <f t="shared" si="35"/>
        <v>181264730.6122449</v>
      </c>
      <c r="Q56" s="5"/>
      <c r="R56" s="5"/>
      <c r="S56" s="5"/>
      <c r="T56" s="5"/>
      <c r="U56" s="7"/>
      <c r="V56" s="7"/>
      <c r="W56" s="7"/>
      <c r="X56" s="2"/>
      <c r="Y56" s="11"/>
      <c r="Z56" s="11"/>
      <c r="AA56" s="11"/>
      <c r="AB56" s="11"/>
      <c r="AC56" s="11"/>
      <c r="AD56" s="2"/>
      <c r="AE56" s="2"/>
    </row>
    <row r="57" spans="1:31">
      <c r="A57" s="2"/>
      <c r="B57" s="31" t="s">
        <v>32</v>
      </c>
      <c r="C57" s="31"/>
      <c r="D57" s="31"/>
      <c r="E57" s="31"/>
      <c r="F57" s="31"/>
      <c r="G57" s="31"/>
      <c r="H57" s="31"/>
      <c r="I57" s="31"/>
      <c r="J57" s="31"/>
      <c r="K57" s="31"/>
      <c r="L57" s="32">
        <f>IF(L56&gt; 0, L56*0.2, 0)</f>
        <v>5335955</v>
      </c>
      <c r="M57" s="32">
        <f t="shared" ref="M57:P57" si="36">IF(M56&gt; 0, M56*0.2, 0)</f>
        <v>33723726.122448981</v>
      </c>
      <c r="N57" s="32">
        <f t="shared" si="36"/>
        <v>31843486.122448981</v>
      </c>
      <c r="O57" s="32">
        <f t="shared" si="36"/>
        <v>33803246.122448981</v>
      </c>
      <c r="P57" s="32">
        <f t="shared" si="36"/>
        <v>36252946.122448981</v>
      </c>
      <c r="Q57" s="5"/>
      <c r="R57" s="5"/>
      <c r="S57" s="5"/>
      <c r="T57" s="5"/>
      <c r="U57" s="7"/>
      <c r="V57" s="7"/>
      <c r="W57" s="7"/>
      <c r="X57" s="2"/>
      <c r="Y57" s="11"/>
      <c r="Z57" s="11"/>
      <c r="AA57" s="11"/>
      <c r="AB57" s="11"/>
      <c r="AC57" s="11"/>
      <c r="AD57" s="2"/>
      <c r="AE57" s="2"/>
    </row>
    <row r="58" spans="1:31" ht="15.6">
      <c r="A58" s="2"/>
      <c r="B58" s="61" t="s">
        <v>33</v>
      </c>
      <c r="C58" s="61"/>
      <c r="D58" s="61"/>
      <c r="E58" s="61"/>
      <c r="F58" s="61"/>
      <c r="G58" s="61"/>
      <c r="H58" s="61"/>
      <c r="I58" s="61"/>
      <c r="J58" s="61"/>
      <c r="K58" s="61"/>
      <c r="L58" s="62">
        <f>L56-L57</f>
        <v>21343819.999999996</v>
      </c>
      <c r="M58" s="62">
        <f>M56-M57</f>
        <v>134894904.48979592</v>
      </c>
      <c r="N58" s="62">
        <f>N56-N57</f>
        <v>127373944.48979592</v>
      </c>
      <c r="O58" s="62">
        <f>O56-O57</f>
        <v>135212984.48979592</v>
      </c>
      <c r="P58" s="62">
        <f>P56-P57</f>
        <v>145011784.48979592</v>
      </c>
      <c r="Q58" s="5"/>
      <c r="R58" s="5"/>
      <c r="S58" s="5"/>
      <c r="T58" s="5"/>
      <c r="U58" s="7"/>
      <c r="V58" s="7"/>
      <c r="W58" s="7"/>
      <c r="X58" s="2"/>
      <c r="Y58" s="11"/>
      <c r="Z58" s="11"/>
      <c r="AA58" s="11"/>
      <c r="AB58" s="11"/>
      <c r="AC58" s="11"/>
      <c r="AD58" s="2"/>
      <c r="AE58" s="2"/>
    </row>
    <row r="59" spans="1:3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5"/>
      <c r="M59" s="5"/>
      <c r="N59" s="5"/>
      <c r="O59" s="5"/>
      <c r="P59" s="5"/>
      <c r="Q59" s="5"/>
      <c r="R59" s="5"/>
      <c r="S59" s="5"/>
      <c r="T59" s="5"/>
      <c r="U59" s="7"/>
      <c r="V59" s="7"/>
      <c r="W59" s="7"/>
      <c r="X59" s="2"/>
      <c r="Y59" s="11"/>
      <c r="Z59" s="11"/>
      <c r="AA59" s="11"/>
      <c r="AB59" s="11"/>
      <c r="AC59" s="11"/>
      <c r="AD59" s="2"/>
      <c r="AE59" s="2"/>
    </row>
    <row r="60" spans="1:31">
      <c r="A60" s="2"/>
      <c r="B60" s="4" t="s">
        <v>16</v>
      </c>
      <c r="C60" s="2"/>
      <c r="D60" s="2"/>
      <c r="E60" s="2"/>
      <c r="F60" s="2"/>
      <c r="G60" s="2"/>
      <c r="H60" s="2"/>
      <c r="I60" s="2"/>
      <c r="J60" s="2"/>
      <c r="K60" s="2"/>
      <c r="L60" s="6">
        <f>T39</f>
        <v>336100000</v>
      </c>
      <c r="M60" s="6"/>
      <c r="N60" s="6"/>
      <c r="O60" s="6"/>
      <c r="P60" s="6"/>
      <c r="Q60" s="5"/>
      <c r="R60" s="5"/>
      <c r="S60" s="5"/>
      <c r="T60" s="5"/>
      <c r="U60" s="7"/>
      <c r="V60" s="7"/>
      <c r="W60" s="7"/>
      <c r="X60" s="2"/>
      <c r="Y60" s="11"/>
      <c r="Z60" s="11"/>
      <c r="AA60" s="11"/>
      <c r="AB60" s="11"/>
      <c r="AC60" s="11"/>
      <c r="AD60" s="2"/>
      <c r="AE60" s="2"/>
    </row>
    <row r="61" spans="1:31">
      <c r="A61" s="2"/>
      <c r="B61" s="13" t="s">
        <v>61</v>
      </c>
      <c r="C61" s="2"/>
      <c r="D61" s="2"/>
      <c r="E61" s="2"/>
      <c r="F61" s="2"/>
      <c r="G61" s="2"/>
      <c r="H61" s="2"/>
      <c r="I61" s="2"/>
      <c r="J61" s="2"/>
      <c r="K61" s="2"/>
      <c r="L61" s="6"/>
      <c r="M61" s="6"/>
      <c r="N61" s="6"/>
      <c r="O61" s="6"/>
      <c r="P61" s="6"/>
      <c r="Q61" s="5"/>
      <c r="R61" s="5"/>
      <c r="S61" s="5"/>
      <c r="T61" s="5"/>
      <c r="U61" s="7"/>
      <c r="V61" s="7"/>
      <c r="W61" s="7"/>
      <c r="X61" s="2"/>
      <c r="Y61" s="11"/>
      <c r="Z61" s="11"/>
      <c r="AA61" s="11"/>
      <c r="AB61" s="11"/>
      <c r="AC61" s="11"/>
      <c r="AD61" s="2"/>
      <c r="AE61" s="2"/>
    </row>
    <row r="62" spans="1:31">
      <c r="A62" s="2"/>
      <c r="B62" s="8" t="s">
        <v>17</v>
      </c>
      <c r="C62" s="2"/>
      <c r="D62" s="2"/>
      <c r="E62" s="2"/>
      <c r="F62" s="2"/>
      <c r="G62" s="2"/>
      <c r="H62" s="2"/>
      <c r="I62" s="2"/>
      <c r="J62" s="2"/>
      <c r="K62" s="2"/>
      <c r="L62" s="5">
        <v>284500000</v>
      </c>
      <c r="M62" s="5"/>
      <c r="N62" s="5"/>
      <c r="O62" s="5"/>
      <c r="P62" s="5"/>
      <c r="Q62" s="5"/>
      <c r="R62" s="5"/>
      <c r="S62" s="5"/>
      <c r="T62" s="5"/>
      <c r="U62" s="7"/>
      <c r="V62" s="7"/>
      <c r="W62" s="7"/>
      <c r="X62" s="2"/>
      <c r="Y62" s="11"/>
      <c r="Z62" s="11"/>
      <c r="AA62" s="11"/>
      <c r="AB62" s="11"/>
      <c r="AC62" s="11"/>
      <c r="AD62" s="2"/>
      <c r="AE62" s="2"/>
    </row>
    <row r="63" spans="1:31">
      <c r="A63" s="2"/>
      <c r="B63" s="8" t="s">
        <v>18</v>
      </c>
      <c r="C63" s="2"/>
      <c r="D63" s="2"/>
      <c r="E63" s="2"/>
      <c r="F63" s="2"/>
      <c r="G63" s="2"/>
      <c r="H63" s="2"/>
      <c r="I63" s="2"/>
      <c r="J63" s="2"/>
      <c r="K63" s="2"/>
      <c r="L63" s="5">
        <f>SUM(T28:T36)</f>
        <v>44600000</v>
      </c>
      <c r="M63" s="5"/>
      <c r="N63" s="5"/>
      <c r="O63" s="5"/>
      <c r="P63" s="5"/>
      <c r="Q63" s="5"/>
      <c r="R63" s="5"/>
      <c r="S63" s="5"/>
      <c r="T63" s="5"/>
      <c r="U63" s="7"/>
      <c r="V63" s="7"/>
      <c r="W63" s="7"/>
      <c r="X63" s="2"/>
      <c r="Y63" s="11"/>
      <c r="Z63" s="11"/>
      <c r="AA63" s="11"/>
      <c r="AB63" s="11"/>
      <c r="AC63" s="11"/>
      <c r="AD63" s="2"/>
      <c r="AE63" s="2"/>
    </row>
    <row r="64" spans="1:31">
      <c r="A64" s="2"/>
      <c r="B64" s="8" t="s">
        <v>20</v>
      </c>
      <c r="C64" s="2"/>
      <c r="D64" s="2"/>
      <c r="E64" s="2"/>
      <c r="F64" s="2"/>
      <c r="G64" s="2"/>
      <c r="H64" s="2"/>
      <c r="I64" s="2"/>
      <c r="J64" s="2"/>
      <c r="K64" s="2"/>
      <c r="L64" s="5">
        <f>T38+T37</f>
        <v>2000000</v>
      </c>
      <c r="M64" s="5"/>
      <c r="N64" s="5"/>
      <c r="O64" s="5"/>
      <c r="P64" s="5"/>
      <c r="Q64" s="5"/>
      <c r="R64" s="5"/>
      <c r="S64" s="5"/>
      <c r="T64" s="5"/>
      <c r="U64" s="7"/>
      <c r="V64" s="7"/>
      <c r="W64" s="7"/>
      <c r="X64" s="2"/>
      <c r="Y64" s="11"/>
      <c r="Z64" s="11"/>
      <c r="AA64" s="11"/>
      <c r="AB64" s="11"/>
      <c r="AC64" s="11"/>
      <c r="AD64" s="2"/>
      <c r="AE64" s="2"/>
    </row>
    <row r="65" spans="1:31" ht="13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7"/>
      <c r="M65" s="7"/>
      <c r="N65" s="7"/>
      <c r="O65" s="7"/>
      <c r="P65" s="7"/>
      <c r="Q65" s="5"/>
      <c r="R65" s="5"/>
      <c r="S65" s="5"/>
      <c r="T65" s="5"/>
      <c r="U65" s="7"/>
      <c r="V65" s="7"/>
      <c r="W65" s="7"/>
      <c r="X65" s="2"/>
      <c r="Y65" s="11"/>
      <c r="Z65" s="11"/>
      <c r="AA65" s="11"/>
      <c r="AB65" s="11"/>
      <c r="AC65" s="11"/>
      <c r="AD65" s="2"/>
      <c r="AE65" s="2"/>
    </row>
    <row r="66" spans="1:31" ht="30.6" customHeight="1">
      <c r="A66" s="2"/>
      <c r="B66" s="96" t="s">
        <v>145</v>
      </c>
      <c r="C66" s="2"/>
      <c r="D66" s="2"/>
      <c r="E66" s="2"/>
      <c r="F66" s="2"/>
      <c r="G66" s="2"/>
      <c r="H66" s="2"/>
      <c r="I66" s="2"/>
      <c r="J66" s="2"/>
      <c r="K66" s="2"/>
      <c r="L66" s="7"/>
      <c r="M66" s="7"/>
      <c r="N66" s="7"/>
      <c r="O66" s="7"/>
      <c r="P66" s="7"/>
      <c r="Q66" s="5"/>
      <c r="R66" s="5"/>
      <c r="S66" s="5"/>
      <c r="T66" s="7"/>
      <c r="U66" s="7"/>
      <c r="V66" s="7"/>
      <c r="W66" s="7"/>
      <c r="X66" s="2"/>
      <c r="Y66" s="2"/>
      <c r="Z66" s="2"/>
      <c r="AA66" s="2"/>
      <c r="AB66" s="2"/>
      <c r="AC66" s="2"/>
      <c r="AD66" s="2"/>
      <c r="AE66" s="2"/>
    </row>
    <row r="67" spans="1:3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7"/>
      <c r="M67" s="7"/>
      <c r="N67" s="7"/>
      <c r="O67" s="7"/>
      <c r="P67" s="7"/>
      <c r="Q67" s="5"/>
      <c r="R67" s="5"/>
      <c r="S67" s="5"/>
      <c r="T67" s="7"/>
      <c r="U67" s="7"/>
      <c r="V67" s="7"/>
      <c r="W67" s="7"/>
      <c r="X67" s="2"/>
      <c r="Y67" s="2"/>
      <c r="Z67" s="2"/>
      <c r="AA67" s="2"/>
      <c r="AB67" s="2"/>
      <c r="AC67" s="2"/>
      <c r="AD67" s="2"/>
      <c r="AE67" s="2"/>
    </row>
    <row r="68" spans="1:31">
      <c r="A68" s="2"/>
      <c r="B68" s="2" t="s">
        <v>147</v>
      </c>
      <c r="C68" s="2"/>
      <c r="D68" s="2"/>
      <c r="E68" s="2"/>
      <c r="F68" s="2"/>
      <c r="G68" s="2"/>
      <c r="H68" s="2"/>
      <c r="I68" s="2"/>
      <c r="J68" s="2"/>
      <c r="K68" s="2"/>
      <c r="L68" s="7"/>
      <c r="M68" s="7"/>
      <c r="N68" s="7"/>
      <c r="O68" s="7"/>
      <c r="P68" s="7"/>
      <c r="Q68" s="7"/>
      <c r="R68" s="7"/>
      <c r="S68" s="5"/>
      <c r="T68" s="7"/>
      <c r="U68" s="7"/>
      <c r="V68" s="7"/>
      <c r="W68" s="7"/>
      <c r="X68" s="2"/>
      <c r="Y68" s="2"/>
      <c r="Z68" s="2"/>
      <c r="AA68" s="2"/>
      <c r="AB68" s="2"/>
      <c r="AC68" s="2"/>
      <c r="AD68" s="2"/>
      <c r="AE68" s="2"/>
    </row>
    <row r="69" spans="1:3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7"/>
      <c r="R69" s="7"/>
      <c r="S69" s="7"/>
      <c r="T69" s="7"/>
      <c r="U69" s="7"/>
      <c r="V69" s="7"/>
      <c r="W69" s="7"/>
      <c r="X69" s="2"/>
      <c r="Y69" s="2"/>
      <c r="Z69" s="2"/>
      <c r="AA69" s="2"/>
      <c r="AB69" s="2"/>
      <c r="AC69" s="2"/>
      <c r="AD69" s="2"/>
      <c r="AE69" s="2"/>
    </row>
    <row r="70" spans="1:31">
      <c r="A70" s="2"/>
      <c r="B70" s="2" t="s">
        <v>148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7"/>
      <c r="R70" s="7"/>
      <c r="S70" s="7"/>
      <c r="T70" s="7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>
      <c r="A71" s="2"/>
      <c r="B71" s="2" t="s">
        <v>101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7"/>
      <c r="R71" s="7"/>
      <c r="S71" s="7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7"/>
      <c r="R72" s="7"/>
      <c r="S72" s="7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>
      <c r="A73" s="2"/>
      <c r="B73" s="2" t="s">
        <v>117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7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>
      <c r="A74" s="2"/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>
      <c r="A75" s="2"/>
      <c r="B75" s="2" t="s">
        <v>143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>
      <c r="A79" s="9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</sheetData>
  <mergeCells count="2">
    <mergeCell ref="D3:G3"/>
    <mergeCell ref="H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13"/>
  <sheetViews>
    <sheetView topLeftCell="A10" workbookViewId="0">
      <selection activeCell="K29" sqref="K29"/>
    </sheetView>
  </sheetViews>
  <sheetFormatPr defaultRowHeight="14.4"/>
  <cols>
    <col min="1" max="1" width="39.109375" customWidth="1"/>
    <col min="3" max="3" width="12.77734375" bestFit="1" customWidth="1"/>
    <col min="4" max="4" width="14.21875" bestFit="1" customWidth="1"/>
    <col min="5" max="5" width="11.5546875" bestFit="1" customWidth="1"/>
    <col min="6" max="6" width="11.6640625" bestFit="1" customWidth="1"/>
    <col min="7" max="7" width="10.6640625" bestFit="1" customWidth="1"/>
    <col min="8" max="11" width="13.88671875" bestFit="1" customWidth="1"/>
    <col min="12" max="15" width="14.33203125" bestFit="1" customWidth="1"/>
    <col min="18" max="18" width="33.33203125" customWidth="1"/>
    <col min="19" max="20" width="12.33203125" bestFit="1" customWidth="1"/>
    <col min="22" max="22" width="23" bestFit="1" customWidth="1"/>
    <col min="26" max="26" width="17.33203125" bestFit="1" customWidth="1"/>
  </cols>
  <sheetData>
    <row r="2" spans="1:30" ht="15.6">
      <c r="A2" s="3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5.6">
      <c r="A4" s="1" t="s">
        <v>23</v>
      </c>
      <c r="B4" s="1" t="s">
        <v>24</v>
      </c>
      <c r="C4" s="107">
        <v>2024</v>
      </c>
      <c r="D4" s="108"/>
      <c r="E4" s="108"/>
      <c r="F4" s="109"/>
      <c r="G4" s="107">
        <v>2025</v>
      </c>
      <c r="H4" s="108"/>
      <c r="I4" s="108"/>
      <c r="J4" s="108"/>
      <c r="K4" s="109"/>
      <c r="L4" s="1">
        <v>2026</v>
      </c>
      <c r="M4" s="1">
        <v>2027</v>
      </c>
      <c r="N4" s="1">
        <v>2028</v>
      </c>
      <c r="O4" s="1">
        <v>2029</v>
      </c>
      <c r="P4" s="3"/>
      <c r="Q4" s="3"/>
      <c r="R4" s="36" t="s">
        <v>27</v>
      </c>
      <c r="S4" s="31"/>
      <c r="T4" s="2"/>
      <c r="U4" s="2"/>
      <c r="V4" s="28" t="s">
        <v>26</v>
      </c>
      <c r="W4" s="38"/>
      <c r="X4" s="38"/>
      <c r="Y4" s="2"/>
      <c r="Z4" s="2"/>
      <c r="AA4" s="2"/>
      <c r="AB4" s="2"/>
      <c r="AC4" s="2"/>
      <c r="AD4" s="2"/>
    </row>
    <row r="5" spans="1:30" ht="15.6">
      <c r="A5" s="2"/>
      <c r="B5" s="14"/>
      <c r="C5" s="14" t="s">
        <v>119</v>
      </c>
      <c r="D5" s="14" t="s">
        <v>120</v>
      </c>
      <c r="E5" s="14" t="s">
        <v>121</v>
      </c>
      <c r="F5" s="14"/>
      <c r="G5" s="14" t="s">
        <v>118</v>
      </c>
      <c r="H5" s="14" t="s">
        <v>119</v>
      </c>
      <c r="I5" s="14" t="s">
        <v>122</v>
      </c>
      <c r="J5" s="14" t="s">
        <v>123</v>
      </c>
      <c r="K5" s="15"/>
      <c r="L5" s="14"/>
      <c r="M5" s="14"/>
      <c r="N5" s="14"/>
      <c r="O5" s="14"/>
      <c r="P5" s="3"/>
      <c r="Q5" s="3"/>
      <c r="R5" s="31"/>
      <c r="S5" s="31"/>
      <c r="T5" s="2"/>
      <c r="U5" s="2"/>
      <c r="V5" s="38"/>
      <c r="W5" s="38"/>
      <c r="X5" s="38"/>
      <c r="Y5" s="2"/>
      <c r="Z5" s="2"/>
      <c r="AA5" s="2"/>
      <c r="AB5" s="2"/>
      <c r="AC5" s="2"/>
      <c r="AD5" s="2"/>
    </row>
    <row r="6" spans="1:30" ht="15.6">
      <c r="A6" s="95" t="s">
        <v>124</v>
      </c>
      <c r="B6" s="94"/>
      <c r="C6" s="94">
        <f>SUM(C7,C12)</f>
        <v>5000000</v>
      </c>
      <c r="D6" s="94">
        <f t="shared" ref="D6:J6" si="0">SUM(D7,D12)</f>
        <v>39000000</v>
      </c>
      <c r="E6" s="94">
        <f t="shared" si="0"/>
        <v>9000000</v>
      </c>
      <c r="F6" s="94">
        <f t="shared" si="0"/>
        <v>53000000</v>
      </c>
      <c r="G6" s="94">
        <f t="shared" si="0"/>
        <v>9000000</v>
      </c>
      <c r="H6" s="94">
        <f t="shared" si="0"/>
        <v>267600000</v>
      </c>
      <c r="I6" s="94">
        <f t="shared" si="0"/>
        <v>267600000</v>
      </c>
      <c r="J6" s="94">
        <f t="shared" si="0"/>
        <v>267600000</v>
      </c>
      <c r="K6" s="94">
        <f>SUM(K7,K12)</f>
        <v>811800000</v>
      </c>
      <c r="L6" s="94">
        <f t="shared" ref="L6:O6" si="1">SUM(L7,L12)</f>
        <v>1065000000</v>
      </c>
      <c r="M6" s="94">
        <f t="shared" si="1"/>
        <v>1065000000</v>
      </c>
      <c r="N6" s="94">
        <f t="shared" si="1"/>
        <v>1065000000</v>
      </c>
      <c r="O6" s="94">
        <f t="shared" si="1"/>
        <v>1320000000</v>
      </c>
      <c r="P6" s="3"/>
      <c r="Q6" s="3"/>
      <c r="R6" s="31"/>
      <c r="S6" s="31"/>
      <c r="T6" s="2"/>
      <c r="U6" s="2"/>
      <c r="V6" s="38"/>
      <c r="W6" s="38"/>
      <c r="X6" s="38"/>
      <c r="Y6" s="2"/>
      <c r="Z6" s="2"/>
      <c r="AA6" s="2"/>
      <c r="AB6" s="2"/>
      <c r="AC6" s="2"/>
      <c r="AD6" s="2"/>
    </row>
    <row r="7" spans="1:30" ht="15.6">
      <c r="A7" s="29" t="s">
        <v>128</v>
      </c>
      <c r="B7" s="29"/>
      <c r="C7" s="29">
        <f>C8*C9</f>
        <v>0</v>
      </c>
      <c r="D7" s="29">
        <f>D8*D9</f>
        <v>9000000</v>
      </c>
      <c r="E7" s="29">
        <f>E8*E9</f>
        <v>9000000</v>
      </c>
      <c r="F7" s="29">
        <f t="shared" ref="F7" si="2">F8*F9</f>
        <v>18000000</v>
      </c>
      <c r="G7" s="29">
        <f>G8*G9+G11*G10</f>
        <v>9000000</v>
      </c>
      <c r="H7" s="29">
        <f t="shared" ref="H7:J7" si="3">H8*H9+H11*H10</f>
        <v>267600000</v>
      </c>
      <c r="I7" s="29">
        <f t="shared" si="3"/>
        <v>267600000</v>
      </c>
      <c r="J7" s="29">
        <f t="shared" si="3"/>
        <v>267600000</v>
      </c>
      <c r="K7" s="30">
        <f>K8*K9+K10*K11</f>
        <v>811800000</v>
      </c>
      <c r="L7" s="30">
        <f t="shared" ref="L7:O7" si="4">L8*L9+L10*L11</f>
        <v>1065000000</v>
      </c>
      <c r="M7" s="30">
        <f t="shared" si="4"/>
        <v>1065000000</v>
      </c>
      <c r="N7" s="30">
        <f t="shared" si="4"/>
        <v>1065000000</v>
      </c>
      <c r="O7" s="30">
        <f t="shared" si="4"/>
        <v>1320000000</v>
      </c>
      <c r="P7" s="3"/>
      <c r="Q7" s="3"/>
      <c r="R7" s="31"/>
      <c r="S7" s="31"/>
      <c r="T7" s="2"/>
      <c r="U7" s="2"/>
      <c r="V7" s="39" t="s">
        <v>68</v>
      </c>
      <c r="W7" s="39">
        <v>4</v>
      </c>
      <c r="X7" s="39">
        <f>W7*50000</f>
        <v>200000</v>
      </c>
      <c r="Y7" s="2"/>
      <c r="Z7" s="31" t="s">
        <v>64</v>
      </c>
      <c r="AA7" s="31"/>
      <c r="AB7" s="31">
        <v>120000</v>
      </c>
      <c r="AC7" s="2"/>
      <c r="AD7" s="2"/>
    </row>
    <row r="8" spans="1:30">
      <c r="A8" s="63" t="s">
        <v>126</v>
      </c>
      <c r="B8" s="39"/>
      <c r="C8" s="39"/>
      <c r="D8" s="39">
        <v>25000</v>
      </c>
      <c r="E8" s="39">
        <v>25000</v>
      </c>
      <c r="F8" s="39">
        <f>SUM(D8:E8)</f>
        <v>50000</v>
      </c>
      <c r="G8" s="39">
        <v>25000</v>
      </c>
      <c r="H8" s="39">
        <v>35000</v>
      </c>
      <c r="I8" s="39">
        <v>35000</v>
      </c>
      <c r="J8" s="39">
        <v>35000</v>
      </c>
      <c r="K8" s="64">
        <f>SUM(G8:J8)</f>
        <v>130000</v>
      </c>
      <c r="L8" s="64">
        <v>150000</v>
      </c>
      <c r="M8" s="64">
        <v>150000</v>
      </c>
      <c r="N8" s="64">
        <v>150000</v>
      </c>
      <c r="O8" s="64">
        <v>150000</v>
      </c>
      <c r="P8" s="5"/>
      <c r="Q8" s="5"/>
      <c r="R8" s="32" t="s">
        <v>94</v>
      </c>
      <c r="S8" s="32">
        <v>200000000</v>
      </c>
      <c r="T8" s="5"/>
      <c r="U8" s="7"/>
      <c r="V8" s="40" t="s">
        <v>67</v>
      </c>
      <c r="W8" s="39">
        <v>4</v>
      </c>
      <c r="X8" s="41">
        <f>W8*100000</f>
        <v>400000</v>
      </c>
      <c r="Y8" s="12"/>
      <c r="Z8" s="42" t="s">
        <v>79</v>
      </c>
      <c r="AA8" s="43">
        <v>4</v>
      </c>
      <c r="AB8" s="43">
        <v>240000</v>
      </c>
      <c r="AC8" s="2"/>
      <c r="AD8" s="2"/>
    </row>
    <row r="9" spans="1:30">
      <c r="A9" s="65" t="s">
        <v>127</v>
      </c>
      <c r="B9" s="39"/>
      <c r="C9" s="39"/>
      <c r="D9" s="64">
        <v>360</v>
      </c>
      <c r="E9" s="64">
        <v>360</v>
      </c>
      <c r="F9" s="64">
        <v>360</v>
      </c>
      <c r="G9" s="64">
        <v>360</v>
      </c>
      <c r="H9" s="64">
        <v>360</v>
      </c>
      <c r="I9" s="64">
        <v>360</v>
      </c>
      <c r="J9" s="64">
        <v>360</v>
      </c>
      <c r="K9" s="64">
        <v>360</v>
      </c>
      <c r="L9" s="64">
        <v>300</v>
      </c>
      <c r="M9" s="64">
        <v>300</v>
      </c>
      <c r="N9" s="64">
        <v>300</v>
      </c>
      <c r="O9" s="64">
        <v>300</v>
      </c>
      <c r="P9" s="5"/>
      <c r="Q9" s="5"/>
      <c r="R9" s="32" t="s">
        <v>95</v>
      </c>
      <c r="S9" s="32">
        <v>35000000</v>
      </c>
      <c r="T9" s="5"/>
      <c r="U9" s="7"/>
      <c r="V9" s="40" t="s">
        <v>69</v>
      </c>
      <c r="W9" s="39">
        <v>4</v>
      </c>
      <c r="X9" s="41">
        <f>W9*80000</f>
        <v>320000</v>
      </c>
      <c r="Y9" s="12"/>
      <c r="Z9" s="42" t="s">
        <v>80</v>
      </c>
      <c r="AA9" s="43">
        <v>2</v>
      </c>
      <c r="AB9" s="43">
        <v>120000</v>
      </c>
      <c r="AC9" s="2"/>
      <c r="AD9" s="2"/>
    </row>
    <row r="10" spans="1:30">
      <c r="A10" s="65" t="s">
        <v>125</v>
      </c>
      <c r="B10" s="39"/>
      <c r="C10" s="39"/>
      <c r="D10" s="39"/>
      <c r="E10" s="39"/>
      <c r="F10" s="39"/>
      <c r="G10" s="39"/>
      <c r="H10" s="39">
        <v>300000</v>
      </c>
      <c r="I10" s="39">
        <v>300000</v>
      </c>
      <c r="J10" s="39">
        <v>300000</v>
      </c>
      <c r="K10" s="64">
        <f>SUM(G10:J10)</f>
        <v>900000</v>
      </c>
      <c r="L10" s="64">
        <v>1200000</v>
      </c>
      <c r="M10" s="64">
        <v>1200000</v>
      </c>
      <c r="N10" s="64">
        <v>1200000</v>
      </c>
      <c r="O10" s="64">
        <v>1500000</v>
      </c>
      <c r="P10" s="5"/>
      <c r="Q10" s="5"/>
      <c r="R10" s="32" t="s">
        <v>96</v>
      </c>
      <c r="S10" s="32">
        <v>12500000</v>
      </c>
      <c r="T10" s="5"/>
      <c r="U10" s="7"/>
      <c r="V10" s="40" t="s">
        <v>70</v>
      </c>
      <c r="W10" s="39">
        <v>4</v>
      </c>
      <c r="X10" s="41">
        <f>W10*80000</f>
        <v>320000</v>
      </c>
      <c r="Y10" s="12"/>
      <c r="Z10" s="42" t="s">
        <v>81</v>
      </c>
      <c r="AA10" s="43">
        <v>4</v>
      </c>
      <c r="AB10" s="43">
        <v>240000</v>
      </c>
      <c r="AC10" s="2"/>
      <c r="AD10" s="2"/>
    </row>
    <row r="11" spans="1:30">
      <c r="A11" s="65" t="s">
        <v>127</v>
      </c>
      <c r="B11" s="39"/>
      <c r="C11" s="39"/>
      <c r="D11" s="39"/>
      <c r="E11" s="39"/>
      <c r="F11" s="39"/>
      <c r="G11" s="64"/>
      <c r="H11" s="64">
        <v>850</v>
      </c>
      <c r="I11" s="64">
        <v>850</v>
      </c>
      <c r="J11" s="64">
        <v>850</v>
      </c>
      <c r="K11" s="64">
        <v>850</v>
      </c>
      <c r="L11" s="64">
        <v>850</v>
      </c>
      <c r="M11" s="64">
        <v>850</v>
      </c>
      <c r="N11" s="64">
        <v>850</v>
      </c>
      <c r="O11" s="64">
        <v>850</v>
      </c>
      <c r="P11" s="5"/>
      <c r="Q11" s="5"/>
      <c r="R11" s="32" t="s">
        <v>150</v>
      </c>
      <c r="S11" s="32">
        <v>37000000</v>
      </c>
      <c r="T11" s="5"/>
      <c r="U11" s="7"/>
      <c r="V11" s="40" t="s">
        <v>71</v>
      </c>
      <c r="W11" s="39">
        <v>2</v>
      </c>
      <c r="X11" s="41">
        <f>W11*80000</f>
        <v>160000</v>
      </c>
      <c r="Y11" s="12"/>
      <c r="Z11" s="12"/>
      <c r="AA11" s="11"/>
      <c r="AB11" s="11"/>
      <c r="AC11" s="2"/>
      <c r="AD11" s="2"/>
    </row>
    <row r="12" spans="1:30">
      <c r="A12" s="77" t="s">
        <v>134</v>
      </c>
      <c r="B12" s="39"/>
      <c r="C12" s="39">
        <v>5000000</v>
      </c>
      <c r="D12" s="39">
        <v>30000000</v>
      </c>
      <c r="E12" s="39"/>
      <c r="F12" s="39">
        <f>SUM(C12:E12)</f>
        <v>35000000</v>
      </c>
      <c r="G12" s="64"/>
      <c r="H12" s="64"/>
      <c r="I12" s="64"/>
      <c r="J12" s="64"/>
      <c r="K12" s="64"/>
      <c r="L12" s="64"/>
      <c r="M12" s="64"/>
      <c r="N12" s="64"/>
      <c r="O12" s="64"/>
      <c r="P12" s="5"/>
      <c r="Q12" s="5"/>
      <c r="R12" s="32"/>
      <c r="S12" s="32"/>
      <c r="T12" s="5"/>
      <c r="U12" s="7"/>
      <c r="V12" s="40"/>
      <c r="W12" s="39"/>
      <c r="X12" s="41"/>
      <c r="Y12" s="12"/>
      <c r="Z12" s="12"/>
      <c r="AA12" s="11"/>
      <c r="AB12" s="11"/>
      <c r="AC12" s="2"/>
      <c r="AD12" s="2"/>
    </row>
    <row r="13" spans="1:30">
      <c r="A13" s="87" t="s">
        <v>0</v>
      </c>
      <c r="B13" s="88"/>
      <c r="C13" s="89">
        <f>SUM(C15:C25,C40,C52)</f>
        <v>5000000</v>
      </c>
      <c r="D13" s="89">
        <f>SUM(D14,D27,D40,D52)</f>
        <v>29487500</v>
      </c>
      <c r="E13" s="89">
        <f>SUM(E14,E27,E40,E52)</f>
        <v>3487500</v>
      </c>
      <c r="F13" s="89">
        <f>SUM(F14,F27,F40,F52)</f>
        <v>37975000</v>
      </c>
      <c r="G13" s="89">
        <f t="shared" ref="G13:O13" si="5">SUM(G14,G27,G40,G52)</f>
        <v>8287500</v>
      </c>
      <c r="H13" s="89">
        <f t="shared" si="5"/>
        <v>142631500</v>
      </c>
      <c r="I13" s="89">
        <f t="shared" si="5"/>
        <v>134031500</v>
      </c>
      <c r="J13" s="89">
        <f t="shared" si="5"/>
        <v>123331500</v>
      </c>
      <c r="K13" s="89">
        <f t="shared" si="5"/>
        <v>403282000</v>
      </c>
      <c r="L13" s="89">
        <f t="shared" si="5"/>
        <v>559632873.78640771</v>
      </c>
      <c r="M13" s="89">
        <f t="shared" si="5"/>
        <v>557232873.78640771</v>
      </c>
      <c r="N13" s="89">
        <f t="shared" si="5"/>
        <v>557232873.78640771</v>
      </c>
      <c r="O13" s="89">
        <f t="shared" si="5"/>
        <v>595133067.96116507</v>
      </c>
      <c r="P13" s="5"/>
      <c r="Q13" s="5"/>
      <c r="R13" s="32"/>
      <c r="S13" s="32"/>
      <c r="T13" s="5">
        <f>SUM(S8:S11)</f>
        <v>284500000</v>
      </c>
      <c r="U13" s="7"/>
      <c r="V13" s="40" t="s">
        <v>72</v>
      </c>
      <c r="W13" s="39">
        <v>2</v>
      </c>
      <c r="X13" s="41">
        <f>W13*80000</f>
        <v>160000</v>
      </c>
      <c r="Y13" s="12"/>
      <c r="Z13" s="12"/>
      <c r="AA13" s="11"/>
      <c r="AB13" s="11"/>
      <c r="AC13" s="2"/>
      <c r="AD13" s="2"/>
    </row>
    <row r="14" spans="1:30" ht="46.2" customHeight="1">
      <c r="A14" s="97" t="s">
        <v>139</v>
      </c>
      <c r="B14" s="79"/>
      <c r="C14" s="80">
        <f>SUM(C15:C25)</f>
        <v>5000000</v>
      </c>
      <c r="D14" s="80">
        <f>SUM(D15:D25)</f>
        <v>12000000</v>
      </c>
      <c r="E14" s="80">
        <f>SUM(E15:E25)</f>
        <v>1000000</v>
      </c>
      <c r="F14" s="80">
        <f>SUM(F15:F25)</f>
        <v>18000000</v>
      </c>
      <c r="G14" s="80">
        <f t="shared" ref="G14:J14" si="6">SUM(G15:G25)</f>
        <v>5500000</v>
      </c>
      <c r="H14" s="80">
        <f>SUM(H15:H26)</f>
        <v>20500000</v>
      </c>
      <c r="I14" s="80">
        <f t="shared" si="6"/>
        <v>11900000</v>
      </c>
      <c r="J14" s="80">
        <f t="shared" si="6"/>
        <v>1200000</v>
      </c>
      <c r="K14" s="80">
        <f>SUM(K15:K25)</f>
        <v>34100000</v>
      </c>
      <c r="L14" s="80">
        <f t="shared" ref="L14:O14" si="7">SUM(L15:L25)</f>
        <v>0</v>
      </c>
      <c r="M14" s="80">
        <f t="shared" si="7"/>
        <v>0</v>
      </c>
      <c r="N14" s="80">
        <f t="shared" si="7"/>
        <v>0</v>
      </c>
      <c r="O14" s="80">
        <f t="shared" si="7"/>
        <v>0</v>
      </c>
      <c r="P14" s="5"/>
      <c r="Q14" s="5"/>
      <c r="R14" s="32"/>
      <c r="S14" s="32"/>
      <c r="T14" s="5"/>
      <c r="U14" s="7"/>
      <c r="V14" s="40"/>
      <c r="W14" s="39"/>
      <c r="X14" s="41"/>
      <c r="Y14" s="12"/>
      <c r="Z14" s="12"/>
      <c r="AA14" s="11"/>
      <c r="AB14" s="11"/>
      <c r="AC14" s="2"/>
      <c r="AD14" s="2"/>
    </row>
    <row r="15" spans="1:30">
      <c r="A15" s="76" t="s">
        <v>65</v>
      </c>
      <c r="B15" s="70"/>
      <c r="C15" s="23">
        <v>500000</v>
      </c>
      <c r="D15" s="25">
        <v>3500000</v>
      </c>
      <c r="E15" s="71"/>
      <c r="F15" s="71">
        <f>SUM(C15:E15)</f>
        <v>4000000</v>
      </c>
      <c r="G15" s="71">
        <v>1000000</v>
      </c>
      <c r="H15" s="71">
        <v>4000000</v>
      </c>
      <c r="I15" s="71">
        <v>4000000</v>
      </c>
      <c r="J15" s="71"/>
      <c r="K15" s="71">
        <f t="shared" ref="K15:K25" si="8">SUM(G15:J15)</f>
        <v>9000000</v>
      </c>
      <c r="L15" s="71"/>
      <c r="M15" s="71"/>
      <c r="N15" s="71"/>
      <c r="O15" s="71"/>
      <c r="P15" s="72"/>
      <c r="Q15" s="72"/>
      <c r="R15" s="64"/>
      <c r="S15" s="64"/>
      <c r="T15" s="72"/>
      <c r="U15" s="73"/>
      <c r="V15" s="40"/>
      <c r="W15" s="39"/>
      <c r="X15" s="41"/>
      <c r="Y15" s="74"/>
      <c r="Z15" s="74"/>
      <c r="AA15" s="75"/>
      <c r="AB15" s="75"/>
      <c r="AC15" s="38"/>
      <c r="AD15" s="38"/>
    </row>
    <row r="16" spans="1:30">
      <c r="A16" s="76" t="s">
        <v>35</v>
      </c>
      <c r="B16" s="70"/>
      <c r="C16" s="23">
        <v>3000000</v>
      </c>
      <c r="D16" s="71"/>
      <c r="E16" s="71"/>
      <c r="F16" s="71">
        <f t="shared" ref="F16:F22" si="9">SUM(C16:E16)</f>
        <v>3000000</v>
      </c>
      <c r="G16" s="71"/>
      <c r="H16" s="71"/>
      <c r="I16" s="71"/>
      <c r="J16" s="71"/>
      <c r="K16" s="71">
        <f t="shared" si="8"/>
        <v>0</v>
      </c>
      <c r="L16" s="71"/>
      <c r="M16" s="71"/>
      <c r="N16" s="71"/>
      <c r="O16" s="71"/>
      <c r="P16" s="72"/>
      <c r="Q16" s="72"/>
      <c r="R16" s="64"/>
      <c r="S16" s="64"/>
      <c r="T16" s="72"/>
      <c r="U16" s="73"/>
      <c r="V16" s="40"/>
      <c r="W16" s="39"/>
      <c r="X16" s="41"/>
      <c r="Y16" s="74"/>
      <c r="Z16" s="74"/>
      <c r="AA16" s="75"/>
      <c r="AB16" s="75"/>
      <c r="AC16" s="38"/>
      <c r="AD16" s="38"/>
    </row>
    <row r="17" spans="1:30">
      <c r="A17" s="22" t="s">
        <v>44</v>
      </c>
      <c r="B17" s="70"/>
      <c r="C17" s="23">
        <v>300000</v>
      </c>
      <c r="D17" s="71"/>
      <c r="E17" s="71"/>
      <c r="F17" s="71">
        <f t="shared" si="9"/>
        <v>300000</v>
      </c>
      <c r="G17" s="71"/>
      <c r="H17" s="71"/>
      <c r="I17" s="71"/>
      <c r="J17" s="71"/>
      <c r="K17" s="71">
        <f t="shared" si="8"/>
        <v>0</v>
      </c>
      <c r="L17" s="71"/>
      <c r="M17" s="71"/>
      <c r="N17" s="71"/>
      <c r="O17" s="71"/>
      <c r="P17" s="72"/>
      <c r="Q17" s="72"/>
      <c r="R17" s="64"/>
      <c r="S17" s="64"/>
      <c r="T17" s="72"/>
      <c r="U17" s="73"/>
      <c r="V17" s="40"/>
      <c r="W17" s="39"/>
      <c r="X17" s="41"/>
      <c r="Y17" s="74"/>
      <c r="Z17" s="74"/>
      <c r="AA17" s="75"/>
      <c r="AB17" s="75"/>
      <c r="AC17" s="38"/>
      <c r="AD17" s="38"/>
    </row>
    <row r="18" spans="1:30">
      <c r="A18" s="22" t="s">
        <v>37</v>
      </c>
      <c r="B18" s="70"/>
      <c r="C18" s="23">
        <v>1200000</v>
      </c>
      <c r="D18" s="71"/>
      <c r="E18" s="71"/>
      <c r="F18" s="71">
        <f t="shared" si="9"/>
        <v>1200000</v>
      </c>
      <c r="G18" s="71"/>
      <c r="H18" s="71"/>
      <c r="I18" s="71"/>
      <c r="J18" s="71"/>
      <c r="K18" s="71">
        <f t="shared" si="8"/>
        <v>0</v>
      </c>
      <c r="L18" s="71"/>
      <c r="M18" s="71"/>
      <c r="N18" s="71"/>
      <c r="O18" s="71"/>
      <c r="P18" s="72"/>
      <c r="Q18" s="72"/>
      <c r="R18" s="64"/>
      <c r="S18" s="64"/>
      <c r="T18" s="72"/>
      <c r="U18" s="73"/>
      <c r="V18" s="40"/>
      <c r="W18" s="39"/>
      <c r="X18" s="41"/>
      <c r="Y18" s="74"/>
      <c r="Z18" s="74"/>
      <c r="AA18" s="75"/>
      <c r="AB18" s="75"/>
      <c r="AC18" s="38"/>
      <c r="AD18" s="38"/>
    </row>
    <row r="19" spans="1:30">
      <c r="A19" s="22" t="s">
        <v>130</v>
      </c>
      <c r="B19" s="70"/>
      <c r="C19" s="23"/>
      <c r="D19" s="71">
        <v>4000000</v>
      </c>
      <c r="E19" s="71"/>
      <c r="F19" s="71">
        <f t="shared" si="9"/>
        <v>4000000</v>
      </c>
      <c r="G19" s="71">
        <v>1000000</v>
      </c>
      <c r="H19" s="71">
        <v>5000000</v>
      </c>
      <c r="I19" s="71">
        <v>5000000</v>
      </c>
      <c r="J19" s="71"/>
      <c r="K19" s="71">
        <f t="shared" si="8"/>
        <v>11000000</v>
      </c>
      <c r="L19" s="71"/>
      <c r="M19" s="71"/>
      <c r="N19" s="71"/>
      <c r="O19" s="71"/>
      <c r="P19" s="72"/>
      <c r="Q19" s="72"/>
      <c r="R19" s="64"/>
      <c r="S19" s="64"/>
      <c r="T19" s="72"/>
      <c r="U19" s="73"/>
      <c r="V19" s="40"/>
      <c r="W19" s="39"/>
      <c r="X19" s="41"/>
      <c r="Y19" s="74"/>
      <c r="Z19" s="74"/>
      <c r="AA19" s="75"/>
      <c r="AB19" s="75"/>
      <c r="AC19" s="38"/>
      <c r="AD19" s="38"/>
    </row>
    <row r="20" spans="1:30">
      <c r="A20" s="22" t="s">
        <v>99</v>
      </c>
      <c r="B20" s="70"/>
      <c r="C20" s="23"/>
      <c r="D20" s="71">
        <v>4000000</v>
      </c>
      <c r="E20" s="71"/>
      <c r="F20" s="71">
        <f t="shared" si="9"/>
        <v>4000000</v>
      </c>
      <c r="G20" s="71">
        <v>2000000</v>
      </c>
      <c r="H20" s="71"/>
      <c r="I20" s="71"/>
      <c r="J20" s="71"/>
      <c r="K20" s="71">
        <f t="shared" si="8"/>
        <v>2000000</v>
      </c>
      <c r="L20" s="71"/>
      <c r="M20" s="71"/>
      <c r="N20" s="71"/>
      <c r="O20" s="71"/>
      <c r="P20" s="72"/>
      <c r="Q20" s="72"/>
      <c r="R20" s="64"/>
      <c r="S20" s="64"/>
      <c r="T20" s="72"/>
      <c r="U20" s="73"/>
      <c r="V20" s="40"/>
      <c r="W20" s="39"/>
      <c r="X20" s="41"/>
      <c r="Y20" s="74"/>
      <c r="Z20" s="74"/>
      <c r="AA20" s="75"/>
      <c r="AB20" s="75"/>
      <c r="AC20" s="38"/>
      <c r="AD20" s="38"/>
    </row>
    <row r="21" spans="1:30">
      <c r="A21" s="22" t="s">
        <v>131</v>
      </c>
      <c r="B21" s="70"/>
      <c r="C21" s="23"/>
      <c r="D21" s="71">
        <v>500000</v>
      </c>
      <c r="E21" s="71"/>
      <c r="F21" s="71">
        <f t="shared" si="9"/>
        <v>500000</v>
      </c>
      <c r="G21" s="71"/>
      <c r="H21" s="71"/>
      <c r="I21" s="71"/>
      <c r="J21" s="71"/>
      <c r="K21" s="71">
        <f t="shared" si="8"/>
        <v>0</v>
      </c>
      <c r="L21" s="71"/>
      <c r="M21" s="71"/>
      <c r="N21" s="71"/>
      <c r="O21" s="71"/>
      <c r="P21" s="72"/>
      <c r="Q21" s="72"/>
      <c r="R21" s="64"/>
      <c r="S21" s="64"/>
      <c r="T21" s="72"/>
      <c r="U21" s="73"/>
      <c r="V21" s="40"/>
      <c r="W21" s="39"/>
      <c r="X21" s="41"/>
      <c r="Y21" s="74"/>
      <c r="Z21" s="74"/>
      <c r="AA21" s="75"/>
      <c r="AB21" s="75"/>
      <c r="AC21" s="38"/>
      <c r="AD21" s="38"/>
    </row>
    <row r="22" spans="1:30">
      <c r="A22" s="22" t="s">
        <v>132</v>
      </c>
      <c r="B22" s="70"/>
      <c r="C22" s="23"/>
      <c r="D22" s="71"/>
      <c r="E22" s="71">
        <v>1000000</v>
      </c>
      <c r="F22" s="71">
        <f t="shared" si="9"/>
        <v>1000000</v>
      </c>
      <c r="G22" s="71"/>
      <c r="H22" s="71"/>
      <c r="I22" s="71"/>
      <c r="J22" s="71"/>
      <c r="K22" s="71">
        <f t="shared" si="8"/>
        <v>0</v>
      </c>
      <c r="L22" s="71"/>
      <c r="M22" s="71"/>
      <c r="N22" s="71"/>
      <c r="O22" s="71"/>
      <c r="P22" s="72"/>
      <c r="Q22" s="72"/>
      <c r="R22" s="64"/>
      <c r="S22" s="64"/>
      <c r="T22" s="72"/>
      <c r="U22" s="73"/>
      <c r="V22" s="40"/>
      <c r="W22" s="39"/>
      <c r="X22" s="41"/>
      <c r="Y22" s="74"/>
      <c r="Z22" s="74"/>
      <c r="AA22" s="75"/>
      <c r="AB22" s="75"/>
      <c r="AC22" s="38"/>
      <c r="AD22" s="38"/>
    </row>
    <row r="23" spans="1:30">
      <c r="A23" s="22" t="s">
        <v>136</v>
      </c>
      <c r="B23" s="70"/>
      <c r="C23" s="23"/>
      <c r="D23" s="71"/>
      <c r="E23" s="71"/>
      <c r="F23" s="71"/>
      <c r="G23" s="71">
        <v>1500000</v>
      </c>
      <c r="H23" s="71"/>
      <c r="I23" s="71"/>
      <c r="J23" s="71"/>
      <c r="K23" s="71">
        <f t="shared" si="8"/>
        <v>1500000</v>
      </c>
      <c r="L23" s="71"/>
      <c r="M23" s="71"/>
      <c r="N23" s="71"/>
      <c r="O23" s="71"/>
      <c r="P23" s="72"/>
      <c r="Q23" s="72"/>
      <c r="R23" s="64"/>
      <c r="S23" s="64"/>
      <c r="T23" s="72"/>
      <c r="U23" s="73"/>
      <c r="V23" s="40"/>
      <c r="W23" s="39"/>
      <c r="X23" s="41"/>
      <c r="Y23" s="74"/>
      <c r="Z23" s="74"/>
      <c r="AA23" s="75"/>
      <c r="AB23" s="75"/>
      <c r="AC23" s="38"/>
      <c r="AD23" s="38"/>
    </row>
    <row r="24" spans="1:30">
      <c r="A24" s="22" t="s">
        <v>137</v>
      </c>
      <c r="B24" s="70"/>
      <c r="C24" s="23"/>
      <c r="D24" s="71"/>
      <c r="E24" s="71"/>
      <c r="F24" s="71"/>
      <c r="G24" s="71"/>
      <c r="H24" s="71">
        <v>1500000</v>
      </c>
      <c r="I24" s="71">
        <v>1500000</v>
      </c>
      <c r="J24" s="71">
        <v>1200000</v>
      </c>
      <c r="K24" s="71">
        <f t="shared" si="8"/>
        <v>4200000</v>
      </c>
      <c r="L24" s="71"/>
      <c r="M24" s="71"/>
      <c r="N24" s="71"/>
      <c r="O24" s="71"/>
      <c r="P24" s="72"/>
      <c r="Q24" s="72"/>
      <c r="R24" s="64"/>
      <c r="S24" s="64"/>
      <c r="T24" s="72"/>
      <c r="U24" s="73"/>
      <c r="V24" s="40"/>
      <c r="W24" s="39"/>
      <c r="X24" s="41"/>
      <c r="Y24" s="74"/>
      <c r="Z24" s="74"/>
      <c r="AA24" s="75"/>
      <c r="AB24" s="75"/>
      <c r="AC24" s="38"/>
      <c r="AD24" s="38"/>
    </row>
    <row r="25" spans="1:30">
      <c r="A25" s="22" t="s">
        <v>138</v>
      </c>
      <c r="B25" s="70"/>
      <c r="C25" s="23"/>
      <c r="D25" s="71"/>
      <c r="E25" s="71"/>
      <c r="F25" s="71"/>
      <c r="G25" s="71"/>
      <c r="H25" s="71">
        <v>5000000</v>
      </c>
      <c r="I25" s="71">
        <v>1400000</v>
      </c>
      <c r="J25" s="71"/>
      <c r="K25" s="71">
        <f t="shared" si="8"/>
        <v>6400000</v>
      </c>
      <c r="L25" s="71"/>
      <c r="M25" s="71"/>
      <c r="N25" s="71"/>
      <c r="O25" s="71"/>
      <c r="P25" s="72"/>
      <c r="Q25" s="72"/>
      <c r="R25" s="64"/>
      <c r="S25" s="64"/>
      <c r="T25" s="72"/>
      <c r="U25" s="73"/>
      <c r="V25" s="40"/>
      <c r="W25" s="39"/>
      <c r="X25" s="41"/>
      <c r="Y25" s="74"/>
      <c r="Z25" s="74"/>
      <c r="AA25" s="75"/>
      <c r="AB25" s="75"/>
      <c r="AC25" s="38"/>
      <c r="AD25" s="38"/>
    </row>
    <row r="26" spans="1:30">
      <c r="A26" s="22" t="s">
        <v>98</v>
      </c>
      <c r="B26" s="70"/>
      <c r="C26" s="23"/>
      <c r="D26" s="71"/>
      <c r="E26" s="71"/>
      <c r="F26" s="71"/>
      <c r="G26" s="71"/>
      <c r="H26" s="71">
        <v>5000000</v>
      </c>
      <c r="I26" s="71"/>
      <c r="J26" s="71"/>
      <c r="K26" s="71"/>
      <c r="L26" s="71"/>
      <c r="M26" s="71"/>
      <c r="N26" s="71"/>
      <c r="O26" s="71"/>
      <c r="P26" s="72"/>
      <c r="Q26" s="72"/>
      <c r="R26" s="64"/>
      <c r="S26" s="64"/>
      <c r="T26" s="72"/>
      <c r="U26" s="73"/>
      <c r="V26" s="40"/>
      <c r="W26" s="39"/>
      <c r="X26" s="41"/>
      <c r="Y26" s="74"/>
      <c r="Z26" s="74"/>
      <c r="AA26" s="75"/>
      <c r="AB26" s="75"/>
      <c r="AC26" s="38"/>
      <c r="AD26" s="38"/>
    </row>
    <row r="27" spans="1:30">
      <c r="A27" s="82" t="s">
        <v>103</v>
      </c>
      <c r="B27" s="82"/>
      <c r="C27" s="82"/>
      <c r="D27" s="81">
        <f>SUM(D28:D37)</f>
        <v>1250000</v>
      </c>
      <c r="E27" s="81">
        <f t="shared" ref="E27:G27" si="10">SUM(E28:E37)</f>
        <v>1250000</v>
      </c>
      <c r="F27" s="81">
        <f t="shared" si="10"/>
        <v>2500000</v>
      </c>
      <c r="G27" s="81">
        <f t="shared" si="10"/>
        <v>1250000</v>
      </c>
      <c r="H27" s="81">
        <f>SUM(H28:H33,H37)</f>
        <v>63730000</v>
      </c>
      <c r="I27" s="81">
        <f t="shared" ref="I27:J27" si="11">SUM(I28:I33,I37)</f>
        <v>63730000</v>
      </c>
      <c r="J27" s="81">
        <f t="shared" si="11"/>
        <v>63730000</v>
      </c>
      <c r="K27" s="81">
        <f>SUM(K28:K33,K37,K36)</f>
        <v>192440000</v>
      </c>
      <c r="L27" s="81">
        <f t="shared" ref="L27:O27" si="12">SUM(L28:L33,L37,L36)</f>
        <v>312290873.78640777</v>
      </c>
      <c r="M27" s="81">
        <f t="shared" si="12"/>
        <v>309890873.78640777</v>
      </c>
      <c r="N27" s="81">
        <f t="shared" si="12"/>
        <v>309890873.78640777</v>
      </c>
      <c r="O27" s="81">
        <f t="shared" si="12"/>
        <v>347791067.96116507</v>
      </c>
      <c r="P27" s="5"/>
      <c r="Q27" s="5"/>
      <c r="R27" s="32" t="s">
        <v>97</v>
      </c>
      <c r="S27" s="32">
        <v>1000000</v>
      </c>
      <c r="T27" s="5"/>
      <c r="U27" s="7"/>
      <c r="V27" s="40" t="s">
        <v>73</v>
      </c>
      <c r="W27" s="39">
        <v>2</v>
      </c>
      <c r="X27" s="41">
        <f>W27*70000</f>
        <v>140000</v>
      </c>
      <c r="Y27" s="12"/>
      <c r="Z27" s="12"/>
      <c r="AA27" s="11"/>
      <c r="AB27" s="11"/>
      <c r="AC27" s="2"/>
      <c r="AD27" s="2"/>
    </row>
    <row r="28" spans="1:30">
      <c r="A28" s="31" t="s">
        <v>1</v>
      </c>
      <c r="B28" s="31"/>
      <c r="C28" s="31"/>
      <c r="D28" s="31"/>
      <c r="E28" s="31"/>
      <c r="F28" s="31"/>
      <c r="G28" s="31"/>
      <c r="H28" s="31"/>
      <c r="I28" s="31"/>
      <c r="J28" s="31"/>
      <c r="K28" s="32">
        <v>0</v>
      </c>
      <c r="L28" s="32">
        <v>50000000</v>
      </c>
      <c r="M28" s="32">
        <v>50000000</v>
      </c>
      <c r="N28" s="32">
        <v>50000000</v>
      </c>
      <c r="O28" s="32">
        <v>50000000</v>
      </c>
      <c r="P28" s="5"/>
      <c r="Q28" s="5"/>
      <c r="R28" s="32" t="s">
        <v>98</v>
      </c>
      <c r="S28" s="32">
        <v>4000000</v>
      </c>
      <c r="T28" s="5"/>
      <c r="U28" s="7"/>
      <c r="V28" s="40" t="s">
        <v>62</v>
      </c>
      <c r="W28" s="39">
        <v>1</v>
      </c>
      <c r="X28" s="41">
        <v>120000</v>
      </c>
      <c r="Y28" s="12"/>
      <c r="Z28" s="12"/>
      <c r="AA28" s="11"/>
      <c r="AB28" s="11"/>
      <c r="AC28" s="2"/>
      <c r="AD28" s="2"/>
    </row>
    <row r="29" spans="1:30">
      <c r="A29" s="33" t="s">
        <v>2</v>
      </c>
      <c r="B29" s="31"/>
      <c r="C29" s="31"/>
      <c r="D29" s="31"/>
      <c r="E29" s="31"/>
      <c r="F29" s="31"/>
      <c r="G29" s="31"/>
      <c r="H29" s="31">
        <v>10800000</v>
      </c>
      <c r="I29" s="31">
        <v>10800000</v>
      </c>
      <c r="J29" s="31">
        <v>10800000</v>
      </c>
      <c r="K29" s="32">
        <f>SUM(H29:J29)</f>
        <v>32400000</v>
      </c>
      <c r="L29" s="32">
        <f>K29*(L10+L8)/(K8+K10)</f>
        <v>42466019.41747573</v>
      </c>
      <c r="M29" s="32">
        <f>L29*(M10+M8)/(L8+L10)</f>
        <v>42466019.41747573</v>
      </c>
      <c r="N29" s="32">
        <f t="shared" ref="N29:O29" si="13">M29*(N10+N8)/(M8+M10)</f>
        <v>42466019.41747573</v>
      </c>
      <c r="O29" s="32">
        <f t="shared" si="13"/>
        <v>51902912.621359222</v>
      </c>
      <c r="P29" s="5"/>
      <c r="Q29" s="5"/>
      <c r="R29" s="32" t="s">
        <v>99</v>
      </c>
      <c r="S29" s="32">
        <v>6000000</v>
      </c>
      <c r="T29" s="5"/>
      <c r="U29" s="7"/>
      <c r="V29" s="40" t="s">
        <v>74</v>
      </c>
      <c r="W29" s="39">
        <v>4</v>
      </c>
      <c r="X29" s="41">
        <f>W29*80000</f>
        <v>320000</v>
      </c>
      <c r="Y29" s="12"/>
      <c r="Z29" s="12"/>
      <c r="AA29" s="11"/>
      <c r="AB29" s="11"/>
      <c r="AC29" s="2"/>
      <c r="AD29" s="2"/>
    </row>
    <row r="30" spans="1:30">
      <c r="A30" s="33" t="s">
        <v>3</v>
      </c>
      <c r="B30" s="31"/>
      <c r="C30" s="31"/>
      <c r="D30" s="31"/>
      <c r="E30" s="31"/>
      <c r="F30" s="31"/>
      <c r="G30" s="31"/>
      <c r="H30" s="31">
        <v>1200000</v>
      </c>
      <c r="I30" s="31">
        <v>1200000</v>
      </c>
      <c r="J30" s="31">
        <v>1200000</v>
      </c>
      <c r="K30" s="32">
        <f>SUM(H30:J30)</f>
        <v>3600000</v>
      </c>
      <c r="L30" s="32">
        <f>K30*2</f>
        <v>7200000</v>
      </c>
      <c r="M30" s="32">
        <v>4800000</v>
      </c>
      <c r="N30" s="32">
        <v>4800000</v>
      </c>
      <c r="O30" s="32">
        <v>4800000</v>
      </c>
      <c r="P30" s="5"/>
      <c r="Q30" s="5"/>
      <c r="R30" s="32" t="s">
        <v>100</v>
      </c>
      <c r="S30" s="32">
        <v>15000000</v>
      </c>
      <c r="T30" s="5"/>
      <c r="U30" s="7"/>
      <c r="V30" s="40" t="s">
        <v>63</v>
      </c>
      <c r="W30" s="39">
        <v>1</v>
      </c>
      <c r="X30" s="41">
        <v>120000</v>
      </c>
      <c r="Y30" s="12"/>
      <c r="Z30" s="12"/>
      <c r="AA30" s="11"/>
      <c r="AB30" s="11"/>
      <c r="AC30" s="2"/>
      <c r="AD30" s="2"/>
    </row>
    <row r="31" spans="1:30">
      <c r="A31" s="33" t="s">
        <v>21</v>
      </c>
      <c r="B31" s="31"/>
      <c r="C31" s="31"/>
      <c r="D31" s="31"/>
      <c r="E31" s="31"/>
      <c r="F31" s="31"/>
      <c r="G31" s="31"/>
      <c r="H31" s="31">
        <v>1200000</v>
      </c>
      <c r="I31" s="31">
        <v>1200000</v>
      </c>
      <c r="J31" s="31">
        <v>1200000</v>
      </c>
      <c r="K31" s="32">
        <f>SUM(H31:J31)</f>
        <v>3600000</v>
      </c>
      <c r="L31" s="32">
        <v>12000000</v>
      </c>
      <c r="M31" s="32">
        <v>12000000</v>
      </c>
      <c r="N31" s="32">
        <v>12000000</v>
      </c>
      <c r="O31" s="32">
        <v>12000000</v>
      </c>
      <c r="P31" s="5"/>
      <c r="Q31" s="5"/>
      <c r="R31" s="32" t="s">
        <v>28</v>
      </c>
      <c r="S31" s="32">
        <v>6400000</v>
      </c>
      <c r="T31" s="5"/>
      <c r="U31" s="7"/>
      <c r="V31" s="40" t="s">
        <v>75</v>
      </c>
      <c r="W31" s="39">
        <v>8</v>
      </c>
      <c r="X31" s="41">
        <f>W31*70000</f>
        <v>560000</v>
      </c>
      <c r="Y31" s="12"/>
      <c r="Z31" s="12"/>
      <c r="AA31" s="11"/>
      <c r="AB31" s="11"/>
      <c r="AC31" s="2"/>
      <c r="AD31" s="2"/>
    </row>
    <row r="32" spans="1:30">
      <c r="A32" s="33" t="s">
        <v>22</v>
      </c>
      <c r="B32" s="31"/>
      <c r="C32" s="31"/>
      <c r="D32" s="31"/>
      <c r="E32" s="31"/>
      <c r="F32" s="31"/>
      <c r="G32" s="31"/>
      <c r="H32" s="31">
        <v>22000000</v>
      </c>
      <c r="I32" s="31">
        <v>22000000</v>
      </c>
      <c r="J32" s="31">
        <v>22000000</v>
      </c>
      <c r="K32" s="32">
        <f>SUM(H32:J32)</f>
        <v>66000000</v>
      </c>
      <c r="L32" s="32">
        <f>K32/(K8+K10)*(L8+L10)</f>
        <v>86504854.368932039</v>
      </c>
      <c r="M32" s="32">
        <f t="shared" ref="M32:O32" si="14">L32/(L8+L10)*(M8+M10)</f>
        <v>86504854.368932039</v>
      </c>
      <c r="N32" s="32">
        <f t="shared" si="14"/>
        <v>86504854.368932039</v>
      </c>
      <c r="O32" s="32">
        <f t="shared" si="14"/>
        <v>105728155.33980583</v>
      </c>
      <c r="P32" s="5"/>
      <c r="Q32" s="5"/>
      <c r="R32" s="32" t="s">
        <v>29</v>
      </c>
      <c r="S32" s="32">
        <v>1000000</v>
      </c>
      <c r="T32" s="5"/>
      <c r="U32" s="7"/>
      <c r="V32" s="40" t="s">
        <v>76</v>
      </c>
      <c r="W32" s="39">
        <v>8</v>
      </c>
      <c r="X32" s="41">
        <f>W32*60000</f>
        <v>480000</v>
      </c>
      <c r="Y32" s="12"/>
      <c r="Z32" s="12"/>
      <c r="AA32" s="11"/>
      <c r="AB32" s="11"/>
      <c r="AC32" s="2"/>
      <c r="AD32" s="2"/>
    </row>
    <row r="33" spans="1:30">
      <c r="A33" s="86" t="s">
        <v>142</v>
      </c>
      <c r="B33" s="31"/>
      <c r="C33" s="31"/>
      <c r="D33" s="31"/>
      <c r="E33" s="31"/>
      <c r="F33" s="31"/>
      <c r="G33" s="31"/>
      <c r="H33" s="31">
        <f>SUM(H34:H35)</f>
        <v>9390000</v>
      </c>
      <c r="I33" s="31">
        <f t="shared" ref="I33:O33" si="15">SUM(I34:I35)</f>
        <v>9390000</v>
      </c>
      <c r="J33" s="31">
        <f t="shared" si="15"/>
        <v>9390000</v>
      </c>
      <c r="K33" s="31">
        <f t="shared" si="15"/>
        <v>28170000.000000004</v>
      </c>
      <c r="L33" s="31">
        <f t="shared" si="15"/>
        <v>37560000</v>
      </c>
      <c r="M33" s="31">
        <f t="shared" si="15"/>
        <v>37560000</v>
      </c>
      <c r="N33" s="31">
        <f t="shared" si="15"/>
        <v>37560000</v>
      </c>
      <c r="O33" s="31">
        <f t="shared" si="15"/>
        <v>46800000.000000007</v>
      </c>
      <c r="P33" s="5"/>
      <c r="Q33" s="5"/>
      <c r="R33" s="32" t="s">
        <v>30</v>
      </c>
      <c r="S33" s="32">
        <v>3200000</v>
      </c>
      <c r="T33" s="5"/>
      <c r="U33" s="7"/>
      <c r="V33" s="40" t="s">
        <v>77</v>
      </c>
      <c r="W33" s="39">
        <v>4</v>
      </c>
      <c r="X33" s="41">
        <f>W33*70000</f>
        <v>280000</v>
      </c>
      <c r="Y33" s="12"/>
      <c r="Z33" s="12"/>
      <c r="AA33" s="11"/>
      <c r="AB33" s="11"/>
      <c r="AC33" s="2"/>
      <c r="AD33" s="2"/>
    </row>
    <row r="34" spans="1:30">
      <c r="A34" s="33" t="s">
        <v>140</v>
      </c>
      <c r="B34" s="31"/>
      <c r="C34" s="31"/>
      <c r="D34" s="31"/>
      <c r="E34" s="31"/>
      <c r="F34" s="31"/>
      <c r="G34" s="31"/>
      <c r="H34" s="31">
        <f>4*H10*1.1*7</f>
        <v>9240000</v>
      </c>
      <c r="I34" s="31">
        <f t="shared" ref="I34" si="16">4*I10*1.1*7</f>
        <v>9240000</v>
      </c>
      <c r="J34" s="31">
        <f>4*J10*1.1*7</f>
        <v>9240000</v>
      </c>
      <c r="K34" s="31">
        <f>4*K10*1.1*7</f>
        <v>27720000.000000004</v>
      </c>
      <c r="L34" s="31">
        <f t="shared" ref="L34:O34" si="17">4*L10*1.1*7</f>
        <v>36960000</v>
      </c>
      <c r="M34" s="31">
        <f t="shared" si="17"/>
        <v>36960000</v>
      </c>
      <c r="N34" s="31">
        <f t="shared" si="17"/>
        <v>36960000</v>
      </c>
      <c r="O34" s="31">
        <f t="shared" si="17"/>
        <v>46200000.000000007</v>
      </c>
      <c r="P34" s="5"/>
      <c r="Q34" s="5"/>
      <c r="R34" s="32"/>
      <c r="S34" s="32"/>
      <c r="T34" s="5"/>
      <c r="U34" s="7"/>
      <c r="V34" s="51"/>
      <c r="W34" s="52"/>
      <c r="X34" s="53"/>
      <c r="Y34" s="12"/>
      <c r="Z34" s="12"/>
      <c r="AA34" s="11"/>
      <c r="AB34" s="11"/>
      <c r="AC34" s="2"/>
      <c r="AD34" s="2"/>
    </row>
    <row r="35" spans="1:30">
      <c r="A35" s="33" t="s">
        <v>141</v>
      </c>
      <c r="B35" s="31"/>
      <c r="C35" s="31"/>
      <c r="D35" s="31"/>
      <c r="E35" s="31"/>
      <c r="F35" s="31"/>
      <c r="G35" s="31"/>
      <c r="H35" s="31">
        <v>150000</v>
      </c>
      <c r="I35" s="31">
        <v>150000</v>
      </c>
      <c r="J35" s="31">
        <v>150000</v>
      </c>
      <c r="K35" s="31">
        <f>SUM(H35:J35)</f>
        <v>450000</v>
      </c>
      <c r="L35" s="31">
        <v>600000</v>
      </c>
      <c r="M35" s="31">
        <v>600000</v>
      </c>
      <c r="N35" s="31">
        <v>600000</v>
      </c>
      <c r="O35" s="31">
        <v>600000</v>
      </c>
      <c r="P35" s="5"/>
      <c r="Q35" s="5"/>
      <c r="R35" s="32"/>
      <c r="S35" s="32"/>
      <c r="T35" s="5"/>
      <c r="U35" s="7"/>
      <c r="V35" s="51"/>
      <c r="W35" s="52"/>
      <c r="X35" s="53"/>
      <c r="Y35" s="12"/>
      <c r="Z35" s="12"/>
      <c r="AA35" s="11"/>
      <c r="AB35" s="11"/>
      <c r="AC35" s="2"/>
      <c r="AD35" s="2"/>
    </row>
    <row r="36" spans="1:30">
      <c r="A36" s="33" t="s">
        <v>129</v>
      </c>
      <c r="B36" s="31"/>
      <c r="C36" s="31"/>
      <c r="D36" s="31">
        <f>50*D8</f>
        <v>1250000</v>
      </c>
      <c r="E36" s="31">
        <f>50*E8</f>
        <v>1250000</v>
      </c>
      <c r="F36" s="31">
        <f>SUM(D36:E36)</f>
        <v>2500000</v>
      </c>
      <c r="G36" s="31">
        <f>50*G8</f>
        <v>1250000</v>
      </c>
      <c r="H36" s="31"/>
      <c r="I36" s="31"/>
      <c r="J36" s="31"/>
      <c r="K36" s="32">
        <v>1250000</v>
      </c>
      <c r="L36" s="32"/>
      <c r="M36" s="32"/>
      <c r="N36" s="32"/>
      <c r="O36" s="32"/>
      <c r="P36" s="5"/>
      <c r="Q36" s="5"/>
      <c r="R36" s="32"/>
      <c r="S36" s="32"/>
      <c r="T36" s="5"/>
      <c r="U36" s="7"/>
      <c r="V36" s="51"/>
      <c r="W36" s="52"/>
      <c r="X36" s="53"/>
      <c r="Y36" s="12"/>
      <c r="Z36" s="12"/>
      <c r="AA36" s="11"/>
      <c r="AB36" s="11"/>
      <c r="AC36" s="2"/>
      <c r="AD36" s="2"/>
    </row>
    <row r="37" spans="1:30">
      <c r="A37" s="33" t="s">
        <v>4</v>
      </c>
      <c r="B37" s="31"/>
      <c r="C37" s="31"/>
      <c r="D37" s="31"/>
      <c r="E37" s="31"/>
      <c r="F37" s="31"/>
      <c r="G37" s="31"/>
      <c r="H37" s="34">
        <f t="shared" ref="H37:J37" si="18">H38+H39</f>
        <v>19140000</v>
      </c>
      <c r="I37" s="34">
        <f t="shared" si="18"/>
        <v>19140000</v>
      </c>
      <c r="J37" s="34">
        <f t="shared" si="18"/>
        <v>19140000</v>
      </c>
      <c r="K37" s="34">
        <f>K38+K39</f>
        <v>57420000</v>
      </c>
      <c r="L37" s="34">
        <f>L38+L39</f>
        <v>76560000</v>
      </c>
      <c r="M37" s="34">
        <f>M38+M39</f>
        <v>76560000</v>
      </c>
      <c r="N37" s="34">
        <f>N38+N39</f>
        <v>76560000</v>
      </c>
      <c r="O37" s="34">
        <f>O38+O39</f>
        <v>76560000</v>
      </c>
      <c r="P37" s="5"/>
      <c r="Q37" s="5"/>
      <c r="R37" s="32" t="s">
        <v>65</v>
      </c>
      <c r="S37" s="32">
        <v>13000000</v>
      </c>
      <c r="T37" s="5"/>
      <c r="U37" s="7"/>
      <c r="V37" s="51" t="s">
        <v>78</v>
      </c>
      <c r="W37" s="52">
        <v>2</v>
      </c>
      <c r="X37" s="53">
        <f>W37*50000</f>
        <v>100000</v>
      </c>
      <c r="Y37" s="12"/>
      <c r="Z37" s="12"/>
      <c r="AA37" s="11"/>
      <c r="AB37" s="11"/>
      <c r="AC37" s="2"/>
      <c r="AD37" s="2"/>
    </row>
    <row r="38" spans="1:30">
      <c r="A38" s="35" t="s">
        <v>5</v>
      </c>
      <c r="B38" s="31"/>
      <c r="C38" s="31"/>
      <c r="D38" s="31"/>
      <c r="E38" s="31"/>
      <c r="F38" s="31"/>
      <c r="G38" s="31"/>
      <c r="H38" s="31">
        <v>13200000</v>
      </c>
      <c r="I38" s="31">
        <v>13200000</v>
      </c>
      <c r="J38" s="31">
        <v>13200000</v>
      </c>
      <c r="K38" s="32">
        <f>SUM(H38:J38)</f>
        <v>39600000</v>
      </c>
      <c r="L38" s="32">
        <f>X38*12</f>
        <v>52800000</v>
      </c>
      <c r="M38" s="32">
        <f>X38*12</f>
        <v>52800000</v>
      </c>
      <c r="N38" s="32">
        <f t="shared" ref="N38:O38" si="19">L38</f>
        <v>52800000</v>
      </c>
      <c r="O38" s="32">
        <f t="shared" si="19"/>
        <v>52800000</v>
      </c>
      <c r="P38" s="5"/>
      <c r="Q38" s="5"/>
      <c r="R38" s="32" t="s">
        <v>9</v>
      </c>
      <c r="S38" s="32">
        <v>1500000</v>
      </c>
      <c r="T38" s="5"/>
      <c r="U38" s="7"/>
      <c r="V38" s="54" t="s">
        <v>15</v>
      </c>
      <c r="W38" s="55"/>
      <c r="X38" s="50">
        <f>SUM(X7:X37,AB7,AB8,AB9,AB10)</f>
        <v>4400000</v>
      </c>
      <c r="Y38" s="12" t="s">
        <v>19</v>
      </c>
      <c r="Z38" s="12"/>
      <c r="AA38" s="11"/>
      <c r="AB38" s="11"/>
      <c r="AC38" s="2"/>
      <c r="AD38" s="2"/>
    </row>
    <row r="39" spans="1:30">
      <c r="A39" s="35" t="s">
        <v>6</v>
      </c>
      <c r="B39" s="31"/>
      <c r="C39" s="31"/>
      <c r="D39" s="32"/>
      <c r="E39" s="32"/>
      <c r="F39" s="31"/>
      <c r="G39" s="32">
        <f t="shared" ref="G39:J39" si="20">G38*0.45</f>
        <v>0</v>
      </c>
      <c r="H39" s="32">
        <f t="shared" si="20"/>
        <v>5940000</v>
      </c>
      <c r="I39" s="32">
        <f t="shared" si="20"/>
        <v>5940000</v>
      </c>
      <c r="J39" s="32">
        <f t="shared" si="20"/>
        <v>5940000</v>
      </c>
      <c r="K39" s="32">
        <f>K38*0.45</f>
        <v>17820000</v>
      </c>
      <c r="L39" s="32">
        <f>L38*0.45</f>
        <v>23760000</v>
      </c>
      <c r="M39" s="32">
        <f>M38*0.45</f>
        <v>23760000</v>
      </c>
      <c r="N39" s="32">
        <f>N38*0.45</f>
        <v>23760000</v>
      </c>
      <c r="O39" s="32">
        <f>O38*0.45</f>
        <v>23760000</v>
      </c>
      <c r="P39" s="5"/>
      <c r="Q39" s="5"/>
      <c r="R39" s="32" t="s">
        <v>31</v>
      </c>
      <c r="S39" s="32">
        <v>500000</v>
      </c>
      <c r="T39" s="5"/>
      <c r="U39" s="7"/>
      <c r="V39" s="45" t="s">
        <v>82</v>
      </c>
      <c r="W39" s="46"/>
      <c r="X39" s="47"/>
      <c r="Y39" s="12"/>
      <c r="Z39" s="12"/>
      <c r="AA39" s="11"/>
      <c r="AB39" s="11"/>
      <c r="AC39" s="2"/>
      <c r="AD39" s="2"/>
    </row>
    <row r="40" spans="1:30">
      <c r="A40" s="83" t="s">
        <v>7</v>
      </c>
      <c r="B40" s="84"/>
      <c r="C40" s="85">
        <f t="shared" ref="C40:J40" si="21">C42+C45+C48+C41</f>
        <v>0</v>
      </c>
      <c r="D40" s="85">
        <f t="shared" si="21"/>
        <v>1237500</v>
      </c>
      <c r="E40" s="85">
        <f t="shared" si="21"/>
        <v>1237500</v>
      </c>
      <c r="F40" s="85">
        <f t="shared" si="21"/>
        <v>2475000</v>
      </c>
      <c r="G40" s="85">
        <f t="shared" si="21"/>
        <v>1537500</v>
      </c>
      <c r="H40" s="85">
        <f t="shared" si="21"/>
        <v>58401500</v>
      </c>
      <c r="I40" s="85">
        <f t="shared" si="21"/>
        <v>58401500</v>
      </c>
      <c r="J40" s="85">
        <f t="shared" si="21"/>
        <v>58401500</v>
      </c>
      <c r="K40" s="85">
        <f>K42+K45+K48+K41</f>
        <v>176742000</v>
      </c>
      <c r="L40" s="85">
        <f>L42+L45+L48+L41</f>
        <v>247342000</v>
      </c>
      <c r="M40" s="85">
        <f>M42+M45+M48+M41</f>
        <v>247342000</v>
      </c>
      <c r="N40" s="85">
        <f>N42+N45+N48+N41</f>
        <v>247342000</v>
      </c>
      <c r="O40" s="85">
        <f>O42+O45+O48+O41</f>
        <v>247342000</v>
      </c>
      <c r="P40" s="5"/>
      <c r="Q40" s="5"/>
      <c r="R40" s="56" t="s">
        <v>15</v>
      </c>
      <c r="S40" s="57">
        <f>SUM(S8:S39)</f>
        <v>336100000</v>
      </c>
      <c r="T40" s="5"/>
      <c r="U40" s="7"/>
      <c r="V40" s="44" t="s">
        <v>83</v>
      </c>
      <c r="W40" s="31"/>
      <c r="X40" s="42">
        <v>500000</v>
      </c>
      <c r="Y40" s="12"/>
      <c r="Z40" s="12"/>
      <c r="AA40" s="11"/>
      <c r="AB40" s="11"/>
      <c r="AC40" s="2"/>
      <c r="AD40" s="2"/>
    </row>
    <row r="41" spans="1:30">
      <c r="A41" s="31" t="s">
        <v>2</v>
      </c>
      <c r="B41" s="31"/>
      <c r="C41" s="31"/>
      <c r="D41" s="31"/>
      <c r="E41" s="31"/>
      <c r="F41" s="31"/>
      <c r="G41" s="31"/>
      <c r="H41" s="31">
        <v>600000</v>
      </c>
      <c r="I41" s="31">
        <v>600000</v>
      </c>
      <c r="J41" s="31">
        <v>600000</v>
      </c>
      <c r="K41" s="32">
        <f>SUM(H41:J41)</f>
        <v>1800000</v>
      </c>
      <c r="L41" s="32">
        <v>2400000</v>
      </c>
      <c r="M41" s="32">
        <v>2400000</v>
      </c>
      <c r="N41" s="32">
        <v>2400000</v>
      </c>
      <c r="O41" s="32">
        <v>2400000</v>
      </c>
      <c r="P41" s="5"/>
      <c r="Q41" s="5"/>
      <c r="R41" s="5"/>
      <c r="S41" s="5"/>
      <c r="T41" s="7"/>
      <c r="U41" s="7"/>
      <c r="V41" s="44" t="s">
        <v>84</v>
      </c>
      <c r="W41" s="31"/>
      <c r="X41" s="42">
        <v>150000</v>
      </c>
      <c r="Y41" s="12"/>
      <c r="Z41" s="12"/>
      <c r="AA41" s="11"/>
      <c r="AB41" s="11"/>
      <c r="AC41" s="2"/>
      <c r="AD41" s="2"/>
    </row>
    <row r="42" spans="1:30">
      <c r="A42" s="31" t="s">
        <v>8</v>
      </c>
      <c r="B42" s="31"/>
      <c r="C42" s="31"/>
      <c r="D42" s="34">
        <f t="shared" ref="D42:J42" si="22">D43+D44</f>
        <v>1087500</v>
      </c>
      <c r="E42" s="34">
        <f t="shared" si="22"/>
        <v>1087500</v>
      </c>
      <c r="F42" s="34">
        <f t="shared" si="22"/>
        <v>2175000</v>
      </c>
      <c r="G42" s="34">
        <f t="shared" si="22"/>
        <v>1087500</v>
      </c>
      <c r="H42" s="34">
        <f t="shared" si="22"/>
        <v>7351500</v>
      </c>
      <c r="I42" s="34">
        <f t="shared" si="22"/>
        <v>7351500</v>
      </c>
      <c r="J42" s="34">
        <f t="shared" si="22"/>
        <v>7351500</v>
      </c>
      <c r="K42" s="34">
        <f>K43+K44</f>
        <v>23142000</v>
      </c>
      <c r="L42" s="34">
        <f>L43+L44</f>
        <v>23142000</v>
      </c>
      <c r="M42" s="34">
        <f>M43+M44</f>
        <v>23142000</v>
      </c>
      <c r="N42" s="34">
        <f>N43+N44</f>
        <v>23142000</v>
      </c>
      <c r="O42" s="34">
        <f>O43+O44</f>
        <v>23142000</v>
      </c>
      <c r="P42" s="5"/>
      <c r="Q42" s="5"/>
      <c r="R42" s="5"/>
      <c r="S42" s="5"/>
      <c r="T42" s="7"/>
      <c r="U42" s="7"/>
      <c r="V42" s="44" t="s">
        <v>85</v>
      </c>
      <c r="W42" s="31"/>
      <c r="X42" s="42">
        <v>70000</v>
      </c>
      <c r="Y42" s="12"/>
      <c r="Z42" s="12"/>
      <c r="AA42" s="11"/>
      <c r="AB42" s="11"/>
      <c r="AC42" s="2"/>
      <c r="AD42" s="2"/>
    </row>
    <row r="43" spans="1:30">
      <c r="A43" s="35" t="s">
        <v>5</v>
      </c>
      <c r="B43" s="31"/>
      <c r="C43" s="31"/>
      <c r="D43" s="31">
        <v>750000</v>
      </c>
      <c r="E43" s="31">
        <v>750000</v>
      </c>
      <c r="F43" s="31">
        <f>SUM(D43:E43)</f>
        <v>1500000</v>
      </c>
      <c r="G43" s="31">
        <v>750000</v>
      </c>
      <c r="H43" s="31">
        <v>5070000</v>
      </c>
      <c r="I43" s="31">
        <v>5070000</v>
      </c>
      <c r="J43" s="31">
        <v>5070000</v>
      </c>
      <c r="K43" s="32">
        <f>SUM(G43:J43)</f>
        <v>15960000</v>
      </c>
      <c r="L43" s="32">
        <f>K43</f>
        <v>15960000</v>
      </c>
      <c r="M43" s="32">
        <f t="shared" ref="M43:O43" si="23">L43</f>
        <v>15960000</v>
      </c>
      <c r="N43" s="32">
        <f t="shared" si="23"/>
        <v>15960000</v>
      </c>
      <c r="O43" s="32">
        <f t="shared" si="23"/>
        <v>15960000</v>
      </c>
      <c r="P43" s="5"/>
      <c r="Q43" s="5"/>
      <c r="R43" s="2"/>
      <c r="S43" s="5"/>
      <c r="T43" s="7"/>
      <c r="U43" s="7"/>
      <c r="V43" s="44" t="s">
        <v>86</v>
      </c>
      <c r="W43" s="31"/>
      <c r="X43" s="42">
        <v>300000</v>
      </c>
      <c r="Y43" s="12"/>
      <c r="Z43" s="12"/>
      <c r="AA43" s="11"/>
      <c r="AB43" s="11"/>
      <c r="AC43" s="2"/>
      <c r="AD43" s="2"/>
    </row>
    <row r="44" spans="1:30">
      <c r="A44" s="35" t="s">
        <v>6</v>
      </c>
      <c r="B44" s="31"/>
      <c r="C44" s="31"/>
      <c r="D44" s="32">
        <f t="shared" ref="D44:J44" si="24">D43*0.45</f>
        <v>337500</v>
      </c>
      <c r="E44" s="32">
        <f t="shared" si="24"/>
        <v>337500</v>
      </c>
      <c r="F44" s="32">
        <f t="shared" si="24"/>
        <v>675000</v>
      </c>
      <c r="G44" s="32">
        <f t="shared" si="24"/>
        <v>337500</v>
      </c>
      <c r="H44" s="32">
        <f t="shared" si="24"/>
        <v>2281500</v>
      </c>
      <c r="I44" s="32">
        <f t="shared" si="24"/>
        <v>2281500</v>
      </c>
      <c r="J44" s="32">
        <f t="shared" si="24"/>
        <v>2281500</v>
      </c>
      <c r="K44" s="32">
        <f>K43*0.45</f>
        <v>7182000</v>
      </c>
      <c r="L44" s="32">
        <f>L43*0.45</f>
        <v>7182000</v>
      </c>
      <c r="M44" s="32">
        <f t="shared" ref="M44:O44" si="25">M43*0.45</f>
        <v>7182000</v>
      </c>
      <c r="N44" s="32">
        <f t="shared" si="25"/>
        <v>7182000</v>
      </c>
      <c r="O44" s="32">
        <f t="shared" si="25"/>
        <v>7182000</v>
      </c>
      <c r="P44" s="5"/>
      <c r="Q44" s="5"/>
      <c r="R44" s="5"/>
      <c r="S44" s="5"/>
      <c r="T44" s="7"/>
      <c r="U44" s="7"/>
      <c r="V44" s="44" t="s">
        <v>87</v>
      </c>
      <c r="W44" s="31"/>
      <c r="X44" s="42">
        <v>80000</v>
      </c>
      <c r="Y44" s="12"/>
      <c r="Z44" s="12"/>
      <c r="AA44" s="11"/>
      <c r="AB44" s="11"/>
      <c r="AC44" s="2"/>
      <c r="AD44" s="2"/>
    </row>
    <row r="45" spans="1:30">
      <c r="A45" s="92" t="s">
        <v>93</v>
      </c>
      <c r="B45" s="92"/>
      <c r="C45" s="93">
        <f t="shared" ref="C45:J45" si="26">C46+C47</f>
        <v>0</v>
      </c>
      <c r="D45" s="93">
        <f t="shared" si="26"/>
        <v>150000</v>
      </c>
      <c r="E45" s="93">
        <f t="shared" si="26"/>
        <v>150000</v>
      </c>
      <c r="F45" s="93">
        <f t="shared" si="26"/>
        <v>300000</v>
      </c>
      <c r="G45" s="93">
        <f t="shared" si="26"/>
        <v>450000</v>
      </c>
      <c r="H45" s="93">
        <f t="shared" si="26"/>
        <v>450000</v>
      </c>
      <c r="I45" s="93">
        <f t="shared" si="26"/>
        <v>450000</v>
      </c>
      <c r="J45" s="93">
        <f t="shared" si="26"/>
        <v>450000</v>
      </c>
      <c r="K45" s="93">
        <f>K46+K47</f>
        <v>1800000</v>
      </c>
      <c r="L45" s="93">
        <f>L46+L47</f>
        <v>1800000</v>
      </c>
      <c r="M45" s="93">
        <f>M46+M47</f>
        <v>1800000</v>
      </c>
      <c r="N45" s="93">
        <f>N46+N47</f>
        <v>1800000</v>
      </c>
      <c r="O45" s="93">
        <f>O46+O47</f>
        <v>1800000</v>
      </c>
      <c r="P45" s="5"/>
      <c r="Q45" s="5"/>
      <c r="R45" s="2"/>
      <c r="S45" s="5"/>
      <c r="T45" s="7"/>
      <c r="U45" s="7"/>
      <c r="V45" s="44" t="s">
        <v>88</v>
      </c>
      <c r="W45" s="31"/>
      <c r="X45" s="42">
        <v>70000</v>
      </c>
      <c r="Y45" s="12"/>
      <c r="Z45" s="12"/>
      <c r="AA45" s="11"/>
      <c r="AB45" s="11"/>
      <c r="AC45" s="2"/>
      <c r="AD45" s="2"/>
    </row>
    <row r="46" spans="1:30">
      <c r="A46" s="35" t="s">
        <v>9</v>
      </c>
      <c r="B46" s="31"/>
      <c r="C46" s="31"/>
      <c r="D46" s="31">
        <v>150000</v>
      </c>
      <c r="E46" s="31">
        <v>150000</v>
      </c>
      <c r="F46" s="31">
        <f>SUM(D46:E46)</f>
        <v>300000</v>
      </c>
      <c r="G46" s="31">
        <v>150000</v>
      </c>
      <c r="H46" s="31">
        <v>150000</v>
      </c>
      <c r="I46" s="31">
        <v>150000</v>
      </c>
      <c r="J46" s="31">
        <v>150000</v>
      </c>
      <c r="K46" s="32">
        <f>SUM(G46:J46)</f>
        <v>600000</v>
      </c>
      <c r="L46" s="32">
        <f>K46</f>
        <v>600000</v>
      </c>
      <c r="M46" s="32">
        <f t="shared" ref="M46:O47" si="27">L46</f>
        <v>600000</v>
      </c>
      <c r="N46" s="32">
        <f t="shared" si="27"/>
        <v>600000</v>
      </c>
      <c r="O46" s="32">
        <f t="shared" si="27"/>
        <v>600000</v>
      </c>
      <c r="P46" s="5"/>
      <c r="Q46" s="5"/>
      <c r="R46" s="2"/>
      <c r="S46" s="5"/>
      <c r="T46" s="7"/>
      <c r="U46" s="7"/>
      <c r="V46" s="44" t="s">
        <v>89</v>
      </c>
      <c r="W46" s="31"/>
      <c r="X46" s="42">
        <v>200000</v>
      </c>
      <c r="Y46" s="12"/>
      <c r="Z46" s="12"/>
      <c r="AA46" s="11"/>
      <c r="AB46" s="11"/>
      <c r="AC46" s="2"/>
      <c r="AD46" s="2"/>
    </row>
    <row r="47" spans="1:30">
      <c r="A47" s="35" t="s">
        <v>10</v>
      </c>
      <c r="B47" s="31"/>
      <c r="C47" s="31"/>
      <c r="D47" s="31"/>
      <c r="E47" s="31"/>
      <c r="F47" s="31"/>
      <c r="G47" s="31">
        <v>300000</v>
      </c>
      <c r="H47" s="31">
        <v>300000</v>
      </c>
      <c r="I47" s="31">
        <v>300000</v>
      </c>
      <c r="J47" s="31">
        <v>300000</v>
      </c>
      <c r="K47" s="32">
        <f>SUM(G47:J47)</f>
        <v>1200000</v>
      </c>
      <c r="L47" s="32">
        <v>1200000</v>
      </c>
      <c r="M47" s="32">
        <f t="shared" si="27"/>
        <v>1200000</v>
      </c>
      <c r="N47" s="32">
        <f t="shared" si="27"/>
        <v>1200000</v>
      </c>
      <c r="O47" s="32">
        <f t="shared" si="27"/>
        <v>1200000</v>
      </c>
      <c r="P47" s="5"/>
      <c r="Q47" s="5"/>
      <c r="R47" s="2"/>
      <c r="S47" s="5"/>
      <c r="T47" s="7"/>
      <c r="U47" s="7"/>
      <c r="V47" s="44" t="s">
        <v>90</v>
      </c>
      <c r="W47" s="31"/>
      <c r="X47" s="42">
        <v>70000</v>
      </c>
      <c r="Y47" s="12"/>
      <c r="Z47" s="12"/>
      <c r="AA47" s="11"/>
      <c r="AB47" s="11"/>
      <c r="AC47" s="2"/>
      <c r="AD47" s="2"/>
    </row>
    <row r="48" spans="1:30">
      <c r="A48" s="90" t="s">
        <v>11</v>
      </c>
      <c r="B48" s="91"/>
      <c r="C48" s="91"/>
      <c r="D48" s="91"/>
      <c r="E48" s="91"/>
      <c r="F48" s="91"/>
      <c r="G48" s="91"/>
      <c r="H48" s="91">
        <v>50000000</v>
      </c>
      <c r="I48" s="91">
        <v>50000000</v>
      </c>
      <c r="J48" s="91">
        <v>50000000</v>
      </c>
      <c r="K48" s="100">
        <f>SUM(G48:J48)</f>
        <v>150000000</v>
      </c>
      <c r="L48" s="91">
        <v>220000000</v>
      </c>
      <c r="M48" s="91">
        <v>220000000</v>
      </c>
      <c r="N48" s="91">
        <v>220000000</v>
      </c>
      <c r="O48" s="91">
        <v>220000000</v>
      </c>
      <c r="P48" s="5"/>
      <c r="Q48" s="5"/>
      <c r="R48" s="2"/>
      <c r="S48" s="5"/>
      <c r="T48" s="7"/>
      <c r="U48" s="7"/>
      <c r="V48" s="44" t="s">
        <v>91</v>
      </c>
      <c r="W48" s="31"/>
      <c r="X48" s="42">
        <v>100000</v>
      </c>
      <c r="Y48" s="12"/>
      <c r="Z48" s="12"/>
      <c r="AA48" s="11"/>
      <c r="AB48" s="11"/>
      <c r="AC48" s="2"/>
      <c r="AD48" s="2"/>
    </row>
    <row r="49" spans="1:30">
      <c r="A49" s="31" t="s">
        <v>12</v>
      </c>
      <c r="B49" s="31"/>
      <c r="C49" s="31"/>
      <c r="D49" s="34">
        <f>D6-D13</f>
        <v>9512500</v>
      </c>
      <c r="E49" s="34">
        <f t="shared" ref="E49:F49" si="28">E6-E13</f>
        <v>5512500</v>
      </c>
      <c r="F49" s="34">
        <f t="shared" si="28"/>
        <v>15025000</v>
      </c>
      <c r="G49" s="34">
        <f t="shared" ref="G49:O49" si="29">G7-G13</f>
        <v>712500</v>
      </c>
      <c r="H49" s="34">
        <f t="shared" si="29"/>
        <v>124968500</v>
      </c>
      <c r="I49" s="34">
        <f t="shared" si="29"/>
        <v>133568500</v>
      </c>
      <c r="J49" s="34">
        <f t="shared" si="29"/>
        <v>144268500</v>
      </c>
      <c r="K49" s="34">
        <f t="shared" si="29"/>
        <v>408518000</v>
      </c>
      <c r="L49" s="34">
        <f t="shared" si="29"/>
        <v>505367126.21359229</v>
      </c>
      <c r="M49" s="34">
        <f t="shared" si="29"/>
        <v>507767126.21359229</v>
      </c>
      <c r="N49" s="34">
        <f t="shared" si="29"/>
        <v>507767126.21359229</v>
      </c>
      <c r="O49" s="34">
        <f t="shared" si="29"/>
        <v>724866932.03883493</v>
      </c>
      <c r="P49" s="5"/>
      <c r="Q49" s="5"/>
      <c r="R49" s="2"/>
      <c r="S49" s="5"/>
      <c r="T49" s="7"/>
      <c r="U49" s="7"/>
      <c r="V49" s="44" t="s">
        <v>92</v>
      </c>
      <c r="W49" s="31"/>
      <c r="X49" s="42">
        <v>150000</v>
      </c>
      <c r="Y49" s="12"/>
      <c r="Z49" s="12"/>
      <c r="AA49" s="11"/>
      <c r="AB49" s="11"/>
      <c r="AC49" s="2"/>
      <c r="AD49" s="2"/>
    </row>
    <row r="50" spans="1:30">
      <c r="A50" s="36" t="s">
        <v>13</v>
      </c>
      <c r="B50" s="31"/>
      <c r="C50" s="31"/>
      <c r="D50" s="31"/>
      <c r="E50" s="31"/>
      <c r="F50" s="31"/>
      <c r="G50" s="31"/>
      <c r="H50" s="31"/>
      <c r="I50" s="31"/>
      <c r="J50" s="31"/>
      <c r="K50" s="34"/>
      <c r="L50" s="34"/>
      <c r="M50" s="34"/>
      <c r="N50" s="34"/>
      <c r="O50" s="34"/>
      <c r="P50" s="5"/>
      <c r="Q50" s="5"/>
      <c r="R50" s="2"/>
      <c r="S50" s="5"/>
      <c r="T50" s="7"/>
      <c r="U50" s="7"/>
      <c r="V50" s="48" t="s">
        <v>15</v>
      </c>
      <c r="W50" s="49"/>
      <c r="X50" s="50">
        <f>SUM(X40:X49)</f>
        <v>1690000</v>
      </c>
      <c r="Y50" s="12"/>
      <c r="Z50" s="12"/>
      <c r="AA50" s="11"/>
      <c r="AB50" s="11"/>
      <c r="AC50" s="2"/>
      <c r="AD50" s="2"/>
    </row>
    <row r="51" spans="1:30">
      <c r="A51" s="36" t="s">
        <v>60</v>
      </c>
      <c r="B51" s="31"/>
      <c r="C51" s="31"/>
      <c r="D51" s="31"/>
      <c r="E51" s="31"/>
      <c r="F51" s="31"/>
      <c r="G51" s="31"/>
      <c r="H51" s="31">
        <v>18000000</v>
      </c>
      <c r="I51" s="31">
        <v>18000000</v>
      </c>
      <c r="J51" s="31">
        <v>18000000</v>
      </c>
      <c r="K51" s="34">
        <f>SUM(H51:J51)</f>
        <v>54000000</v>
      </c>
      <c r="L51" s="34">
        <v>0</v>
      </c>
      <c r="M51" s="34">
        <v>0</v>
      </c>
      <c r="N51" s="34">
        <v>0</v>
      </c>
      <c r="O51" s="34">
        <v>0</v>
      </c>
      <c r="P51" s="5"/>
      <c r="Q51" s="5"/>
      <c r="R51" s="5"/>
      <c r="S51" s="5"/>
      <c r="T51" s="7"/>
      <c r="U51" s="7"/>
      <c r="V51" s="7"/>
      <c r="W51" s="2"/>
      <c r="X51" s="12"/>
      <c r="Y51" s="12"/>
      <c r="Z51" s="12"/>
      <c r="AA51" s="11"/>
      <c r="AB51" s="11"/>
      <c r="AC51" s="2"/>
      <c r="AD51" s="2"/>
    </row>
    <row r="52" spans="1:30">
      <c r="A52" s="36" t="s">
        <v>133</v>
      </c>
      <c r="B52" s="31"/>
      <c r="C52" s="31"/>
      <c r="D52" s="31">
        <v>15000000</v>
      </c>
      <c r="E52" s="31"/>
      <c r="F52" s="31">
        <f>SUM(C52:E52)</f>
        <v>15000000</v>
      </c>
      <c r="G52" s="31"/>
      <c r="H52" s="31"/>
      <c r="I52" s="31"/>
      <c r="J52" s="31"/>
      <c r="K52" s="34"/>
      <c r="L52" s="34"/>
      <c r="M52" s="34"/>
      <c r="N52" s="34"/>
      <c r="O52" s="34"/>
      <c r="P52" s="5"/>
      <c r="Q52" s="5"/>
      <c r="R52" s="5"/>
      <c r="S52" s="5"/>
      <c r="T52" s="7"/>
      <c r="U52" s="7"/>
      <c r="V52" s="7"/>
      <c r="W52" s="2"/>
      <c r="X52" s="12"/>
      <c r="Y52" s="12"/>
      <c r="Z52" s="12"/>
      <c r="AA52" s="11"/>
      <c r="AB52" s="11"/>
      <c r="AC52" s="2"/>
      <c r="AD52" s="2"/>
    </row>
    <row r="53" spans="1:30">
      <c r="A53" s="31" t="s">
        <v>14</v>
      </c>
      <c r="B53" s="31"/>
      <c r="C53" s="31"/>
      <c r="D53" s="31"/>
      <c r="E53" s="31"/>
      <c r="F53" s="31"/>
      <c r="G53" s="31"/>
      <c r="H53" s="31">
        <v>12091000</v>
      </c>
      <c r="I53" s="31">
        <f>(K63-H54)*0.17/4</f>
        <v>11478825</v>
      </c>
      <c r="J53" s="31">
        <f>(K63-H54-I54)*0.17/4</f>
        <v>10866400</v>
      </c>
      <c r="K53" s="34">
        <f>SUM(H53:J53)</f>
        <v>34436225</v>
      </c>
      <c r="L53" s="34">
        <f>(K63-K54)*0.17</f>
        <v>41015900</v>
      </c>
      <c r="M53" s="34">
        <f>(T13-L54-K54)*0.17</f>
        <v>31217100.000000004</v>
      </c>
      <c r="N53" s="34">
        <f>(T13-K54-L54-M54)*0.17</f>
        <v>21418300</v>
      </c>
      <c r="O53" s="34">
        <f>(T13-O54*4)*0.17</f>
        <v>9169800</v>
      </c>
      <c r="P53" s="5"/>
      <c r="Q53" s="5"/>
      <c r="R53" s="5"/>
      <c r="S53" s="5"/>
      <c r="T53" s="7"/>
      <c r="U53" s="7"/>
      <c r="V53" s="7"/>
      <c r="W53" s="2"/>
      <c r="X53" s="12"/>
      <c r="Y53" s="12"/>
      <c r="Z53" s="12"/>
      <c r="AA53" s="11"/>
      <c r="AB53" s="11"/>
      <c r="AC53" s="2"/>
      <c r="AD53" s="2"/>
    </row>
    <row r="54" spans="1:30">
      <c r="A54" s="31" t="s">
        <v>59</v>
      </c>
      <c r="B54" s="31"/>
      <c r="C54" s="31"/>
      <c r="D54" s="31"/>
      <c r="E54" s="31"/>
      <c r="F54" s="31"/>
      <c r="G54" s="31"/>
      <c r="H54" s="31">
        <v>14410000</v>
      </c>
      <c r="I54" s="31">
        <v>14410000</v>
      </c>
      <c r="J54" s="31">
        <v>14410000</v>
      </c>
      <c r="K54" s="34">
        <f>SUM(H54:J54)</f>
        <v>43230000</v>
      </c>
      <c r="L54" s="34">
        <v>57640000</v>
      </c>
      <c r="M54" s="34">
        <f>L54</f>
        <v>57640000</v>
      </c>
      <c r="N54" s="34">
        <f t="shared" ref="N54:O54" si="30">M54</f>
        <v>57640000</v>
      </c>
      <c r="O54" s="34">
        <f t="shared" si="30"/>
        <v>57640000</v>
      </c>
      <c r="P54" s="5"/>
      <c r="Q54" s="5"/>
      <c r="R54" s="5"/>
      <c r="S54" s="5"/>
      <c r="T54" s="7"/>
      <c r="U54" s="7"/>
      <c r="V54" s="7"/>
      <c r="W54" s="2"/>
      <c r="X54" s="12"/>
      <c r="Y54" s="12"/>
      <c r="Z54" s="12"/>
      <c r="AA54" s="11"/>
      <c r="AB54" s="11"/>
      <c r="AC54" s="2"/>
      <c r="AD54" s="2"/>
    </row>
    <row r="55" spans="1:30">
      <c r="A55" s="36"/>
      <c r="B55" s="31"/>
      <c r="C55" s="31"/>
      <c r="D55" s="31"/>
      <c r="E55" s="31"/>
      <c r="F55" s="31"/>
      <c r="G55" s="31"/>
      <c r="H55" s="31"/>
      <c r="I55" s="31"/>
      <c r="J55" s="31"/>
      <c r="K55" s="34"/>
      <c r="L55" s="34"/>
      <c r="M55" s="34"/>
      <c r="N55" s="34"/>
      <c r="O55" s="34"/>
      <c r="P55" s="5"/>
      <c r="Q55" s="5"/>
      <c r="R55" s="5"/>
      <c r="S55" s="5"/>
      <c r="T55" s="7"/>
      <c r="U55" s="7"/>
      <c r="V55" s="7"/>
      <c r="W55" s="2"/>
      <c r="X55" s="12"/>
      <c r="Y55" s="12"/>
      <c r="Z55" s="12"/>
      <c r="AA55" s="11"/>
      <c r="AB55" s="11"/>
      <c r="AC55" s="2"/>
      <c r="AD55" s="2"/>
    </row>
    <row r="56" spans="1:30">
      <c r="A56" s="37" t="s">
        <v>66</v>
      </c>
      <c r="B56" s="31"/>
      <c r="C56" s="31"/>
      <c r="D56" s="31">
        <f t="shared" ref="D56:F56" si="31">C7*1.1*0.05</f>
        <v>0</v>
      </c>
      <c r="E56" s="31">
        <f t="shared" si="31"/>
        <v>495000</v>
      </c>
      <c r="F56" s="31">
        <f t="shared" si="31"/>
        <v>495000</v>
      </c>
      <c r="G56" s="31">
        <f>G7*1.1*0.05</f>
        <v>495000</v>
      </c>
      <c r="H56" s="31">
        <f t="shared" ref="H56:J56" si="32">H7*1.1*0.05</f>
        <v>14718000</v>
      </c>
      <c r="I56" s="31">
        <f t="shared" si="32"/>
        <v>14718000</v>
      </c>
      <c r="J56" s="31">
        <f t="shared" si="32"/>
        <v>14718000</v>
      </c>
      <c r="K56" s="31">
        <f>K7*1.1*0.05</f>
        <v>44649000.000000007</v>
      </c>
      <c r="L56" s="31">
        <f>L7*1.1*0.05</f>
        <v>58575000</v>
      </c>
      <c r="M56" s="31">
        <f t="shared" ref="M56:O56" si="33">M7*1.1*0.05</f>
        <v>58575000</v>
      </c>
      <c r="N56" s="31">
        <f t="shared" si="33"/>
        <v>58575000</v>
      </c>
      <c r="O56" s="31">
        <f t="shared" si="33"/>
        <v>72600000</v>
      </c>
      <c r="P56" s="5"/>
      <c r="Q56" s="5"/>
      <c r="R56" s="5"/>
      <c r="S56" s="5"/>
      <c r="T56" s="7"/>
      <c r="U56" s="7"/>
      <c r="V56" s="7"/>
      <c r="W56" s="2"/>
      <c r="X56" s="11"/>
      <c r="Y56" s="11"/>
      <c r="Z56" s="11"/>
      <c r="AA56" s="11"/>
      <c r="AB56" s="11"/>
      <c r="AC56" s="2"/>
      <c r="AD56" s="2"/>
    </row>
    <row r="57" spans="1:30" ht="15.6">
      <c r="A57" s="58" t="s">
        <v>15</v>
      </c>
      <c r="B57" s="59"/>
      <c r="C57" s="60">
        <f t="shared" ref="C57" si="34">C49-C51-C53-C54-C55-C56</f>
        <v>0</v>
      </c>
      <c r="D57" s="60">
        <f>D49-D51-D53-D54-D55-D56-D52</f>
        <v>-5487500</v>
      </c>
      <c r="E57" s="60">
        <f t="shared" ref="E57:F57" si="35">E49-E51-E53-E54-E55-E56-E52</f>
        <v>5017500</v>
      </c>
      <c r="F57" s="60">
        <f t="shared" si="35"/>
        <v>-470000</v>
      </c>
      <c r="G57" s="60">
        <f>G49-G51-G53-G54-G55-G56</f>
        <v>217500</v>
      </c>
      <c r="H57" s="60">
        <f>H49-H51-H53-H54-H55-H56</f>
        <v>65749500</v>
      </c>
      <c r="I57" s="60">
        <f>I49-I51-I53-I54-I55-I56</f>
        <v>74961675</v>
      </c>
      <c r="J57" s="60">
        <f t="shared" ref="J57:O57" si="36">J49-J51-J53-J54-J55-J56</f>
        <v>86274100</v>
      </c>
      <c r="K57" s="60">
        <f t="shared" si="36"/>
        <v>232202775</v>
      </c>
      <c r="L57" s="60">
        <f t="shared" si="36"/>
        <v>348136226.21359229</v>
      </c>
      <c r="M57" s="60">
        <f t="shared" si="36"/>
        <v>360335026.21359229</v>
      </c>
      <c r="N57" s="60">
        <f t="shared" si="36"/>
        <v>370133826.21359229</v>
      </c>
      <c r="O57" s="60">
        <f t="shared" si="36"/>
        <v>585457132.03883493</v>
      </c>
      <c r="P57" s="5"/>
      <c r="Q57" s="5"/>
      <c r="R57" s="5"/>
      <c r="S57" s="5"/>
      <c r="T57" s="7"/>
      <c r="U57" s="7"/>
      <c r="V57" s="7"/>
      <c r="W57" s="2"/>
      <c r="X57" s="11"/>
      <c r="Y57" s="11"/>
      <c r="Z57" s="11"/>
      <c r="AA57" s="11"/>
      <c r="AB57" s="11"/>
      <c r="AC57" s="2"/>
      <c r="AD57" s="2"/>
    </row>
    <row r="58" spans="1:30">
      <c r="A58" s="31" t="s">
        <v>32</v>
      </c>
      <c r="B58" s="31"/>
      <c r="C58" s="31"/>
      <c r="D58" s="31"/>
      <c r="E58" s="31"/>
      <c r="F58" s="31"/>
      <c r="G58" s="31"/>
      <c r="H58" s="31"/>
      <c r="I58" s="31"/>
      <c r="J58" s="31"/>
      <c r="K58" s="32">
        <f>IF(K57&gt; 0, K57*0.2, 0)</f>
        <v>46440555</v>
      </c>
      <c r="L58" s="32">
        <f t="shared" ref="L58:O58" si="37">IF(L57&gt; 0, L57*0.2, 0)</f>
        <v>69627245.242718458</v>
      </c>
      <c r="M58" s="32">
        <f t="shared" si="37"/>
        <v>72067005.242718458</v>
      </c>
      <c r="N58" s="32">
        <f t="shared" si="37"/>
        <v>74026765.242718458</v>
      </c>
      <c r="O58" s="32">
        <f t="shared" si="37"/>
        <v>117091426.407767</v>
      </c>
      <c r="P58" s="5"/>
      <c r="Q58" s="5"/>
      <c r="R58" s="5"/>
      <c r="S58" s="5"/>
      <c r="T58" s="7"/>
      <c r="U58" s="7"/>
      <c r="V58" s="7"/>
      <c r="W58" s="2"/>
      <c r="X58" s="11"/>
      <c r="Y58" s="11"/>
      <c r="Z58" s="11"/>
      <c r="AA58" s="11"/>
      <c r="AB58" s="11"/>
      <c r="AC58" s="2"/>
      <c r="AD58" s="2"/>
    </row>
    <row r="59" spans="1:30" ht="15.6">
      <c r="A59" s="61" t="s">
        <v>33</v>
      </c>
      <c r="B59" s="61"/>
      <c r="C59" s="61"/>
      <c r="D59" s="61"/>
      <c r="E59" s="61"/>
      <c r="F59" s="61"/>
      <c r="G59" s="61"/>
      <c r="H59" s="61"/>
      <c r="I59" s="61"/>
      <c r="J59" s="61"/>
      <c r="K59" s="62">
        <f>K57-K58</f>
        <v>185762220</v>
      </c>
      <c r="L59" s="62">
        <f>L57-L58</f>
        <v>278508980.97087383</v>
      </c>
      <c r="M59" s="62">
        <f>M57-M58</f>
        <v>288268020.97087383</v>
      </c>
      <c r="N59" s="62">
        <f>N57-N58</f>
        <v>296107060.97087383</v>
      </c>
      <c r="O59" s="62">
        <f>O57-O58</f>
        <v>468365705.63106793</v>
      </c>
      <c r="P59" s="5"/>
      <c r="Q59" s="5"/>
      <c r="R59" s="5"/>
      <c r="S59" s="5"/>
      <c r="T59" s="7"/>
      <c r="U59" s="7"/>
      <c r="V59" s="7"/>
      <c r="W59" s="2"/>
      <c r="X59" s="11"/>
      <c r="Y59" s="11"/>
      <c r="Z59" s="11"/>
      <c r="AA59" s="11"/>
      <c r="AB59" s="11"/>
      <c r="AC59" s="2"/>
      <c r="AD59" s="2"/>
    </row>
    <row r="60" spans="1:30">
      <c r="A60" s="2"/>
      <c r="B60" s="2"/>
      <c r="C60" s="2"/>
      <c r="D60" s="2"/>
      <c r="E60" s="2"/>
      <c r="F60" s="2"/>
      <c r="G60" s="2"/>
      <c r="H60" s="2"/>
      <c r="I60" s="2"/>
      <c r="J60" s="2"/>
      <c r="K60" s="5"/>
      <c r="L60" s="5"/>
      <c r="M60" s="5"/>
      <c r="N60" s="5"/>
      <c r="O60" s="5"/>
      <c r="P60" s="5"/>
      <c r="Q60" s="5"/>
      <c r="R60" s="5"/>
      <c r="S60" s="5"/>
      <c r="T60" s="7"/>
      <c r="U60" s="7"/>
      <c r="V60" s="7"/>
      <c r="W60" s="2"/>
      <c r="X60" s="11"/>
      <c r="Y60" s="11"/>
      <c r="Z60" s="11"/>
      <c r="AA60" s="11"/>
      <c r="AB60" s="11"/>
      <c r="AC60" s="2"/>
      <c r="AD60" s="2"/>
    </row>
    <row r="61" spans="1:30">
      <c r="A61" s="4" t="s">
        <v>16</v>
      </c>
      <c r="B61" s="2"/>
      <c r="C61" s="2"/>
      <c r="D61" s="2"/>
      <c r="E61" s="2"/>
      <c r="F61" s="2"/>
      <c r="G61" s="2"/>
      <c r="H61" s="2"/>
      <c r="I61" s="2"/>
      <c r="J61" s="2"/>
      <c r="K61" s="6">
        <f>S40</f>
        <v>336100000</v>
      </c>
      <c r="L61" s="6"/>
      <c r="M61" s="6"/>
      <c r="N61" s="6"/>
      <c r="O61" s="6"/>
      <c r="P61" s="5"/>
      <c r="Q61" s="5"/>
      <c r="R61" s="5"/>
      <c r="S61" s="5"/>
      <c r="T61" s="7"/>
      <c r="U61" s="7"/>
      <c r="V61" s="7"/>
      <c r="W61" s="2"/>
      <c r="X61" s="11"/>
      <c r="Y61" s="11"/>
      <c r="Z61" s="11"/>
      <c r="AA61" s="11"/>
      <c r="AB61" s="11"/>
      <c r="AC61" s="2"/>
      <c r="AD61" s="2"/>
    </row>
    <row r="62" spans="1:30">
      <c r="A62" s="13" t="s">
        <v>61</v>
      </c>
      <c r="B62" s="2"/>
      <c r="C62" s="2"/>
      <c r="D62" s="2"/>
      <c r="E62" s="2"/>
      <c r="F62" s="2"/>
      <c r="G62" s="2"/>
      <c r="H62" s="2"/>
      <c r="I62" s="2"/>
      <c r="J62" s="2"/>
      <c r="K62" s="6"/>
      <c r="L62" s="6"/>
      <c r="M62" s="6"/>
      <c r="N62" s="6"/>
      <c r="O62" s="6"/>
      <c r="P62" s="5"/>
      <c r="Q62" s="5"/>
      <c r="R62" s="5"/>
      <c r="S62" s="5"/>
      <c r="T62" s="7"/>
      <c r="U62" s="7"/>
      <c r="V62" s="7"/>
      <c r="W62" s="2"/>
      <c r="X62" s="11"/>
      <c r="Y62" s="11"/>
      <c r="Z62" s="11"/>
      <c r="AA62" s="11"/>
      <c r="AB62" s="11"/>
      <c r="AC62" s="2"/>
      <c r="AD62" s="2"/>
    </row>
    <row r="63" spans="1:30">
      <c r="A63" s="8" t="s">
        <v>17</v>
      </c>
      <c r="B63" s="2"/>
      <c r="C63" s="2"/>
      <c r="D63" s="2"/>
      <c r="E63" s="2"/>
      <c r="F63" s="2"/>
      <c r="G63" s="2"/>
      <c r="H63" s="2"/>
      <c r="I63" s="2"/>
      <c r="J63" s="2"/>
      <c r="K63" s="5">
        <v>284500000</v>
      </c>
      <c r="L63" s="5"/>
      <c r="M63" s="5"/>
      <c r="N63" s="5"/>
      <c r="O63" s="5"/>
      <c r="P63" s="5"/>
      <c r="Q63" s="5"/>
      <c r="R63" s="5"/>
      <c r="S63" s="5"/>
      <c r="T63" s="7"/>
      <c r="U63" s="7"/>
      <c r="V63" s="7"/>
      <c r="W63" s="2"/>
      <c r="X63" s="11"/>
      <c r="Y63" s="11"/>
      <c r="Z63" s="11"/>
      <c r="AA63" s="11"/>
      <c r="AB63" s="11"/>
      <c r="AC63" s="2"/>
      <c r="AD63" s="2"/>
    </row>
    <row r="64" spans="1:30">
      <c r="A64" s="8" t="s">
        <v>18</v>
      </c>
      <c r="B64" s="2"/>
      <c r="C64" s="2"/>
      <c r="D64" s="2"/>
      <c r="E64" s="2"/>
      <c r="F64" s="2"/>
      <c r="G64" s="2"/>
      <c r="H64" s="2"/>
      <c r="I64" s="2"/>
      <c r="J64" s="2"/>
      <c r="K64" s="5">
        <f>SUM(S29:S37)</f>
        <v>44600000</v>
      </c>
      <c r="L64" s="5"/>
      <c r="M64" s="5"/>
      <c r="N64" s="5"/>
      <c r="O64" s="5"/>
      <c r="P64" s="5"/>
      <c r="Q64" s="5"/>
      <c r="R64" s="5"/>
      <c r="S64" s="5"/>
      <c r="T64" s="7"/>
      <c r="U64" s="7"/>
      <c r="V64" s="7"/>
      <c r="W64" s="2"/>
      <c r="X64" s="11"/>
      <c r="Y64" s="11"/>
      <c r="Z64" s="11"/>
      <c r="AA64" s="11"/>
      <c r="AB64" s="11"/>
      <c r="AC64" s="2"/>
      <c r="AD64" s="2"/>
    </row>
    <row r="65" spans="1:30">
      <c r="A65" s="8" t="s">
        <v>20</v>
      </c>
      <c r="B65" s="2"/>
      <c r="C65" s="2"/>
      <c r="D65" s="2"/>
      <c r="E65" s="2"/>
      <c r="F65" s="2"/>
      <c r="G65" s="2"/>
      <c r="H65" s="2"/>
      <c r="I65" s="2"/>
      <c r="J65" s="2"/>
      <c r="K65" s="5">
        <f>S39+S38</f>
        <v>2000000</v>
      </c>
      <c r="L65" s="5"/>
      <c r="M65" s="5"/>
      <c r="N65" s="5"/>
      <c r="O65" s="5"/>
      <c r="P65" s="5"/>
      <c r="Q65" s="5"/>
      <c r="R65" s="5"/>
      <c r="S65" s="5"/>
      <c r="T65" s="7"/>
      <c r="U65" s="7"/>
      <c r="V65" s="7"/>
      <c r="W65" s="2"/>
      <c r="X65" s="11"/>
      <c r="Y65" s="11"/>
      <c r="Z65" s="11"/>
      <c r="AA65" s="11"/>
      <c r="AB65" s="11"/>
      <c r="AC65" s="2"/>
      <c r="AD65" s="2"/>
    </row>
    <row r="66" spans="1:30">
      <c r="A66" s="2"/>
      <c r="B66" s="2"/>
      <c r="C66" s="2"/>
      <c r="D66" s="2"/>
      <c r="E66" s="2"/>
      <c r="F66" s="2"/>
      <c r="G66" s="2"/>
      <c r="H66" s="2"/>
      <c r="I66" s="2"/>
      <c r="J66" s="2"/>
      <c r="K66" s="7"/>
      <c r="L66" s="7"/>
      <c r="M66" s="7"/>
      <c r="N66" s="7"/>
      <c r="O66" s="7"/>
      <c r="P66" s="5"/>
      <c r="Q66" s="5"/>
      <c r="R66" s="5"/>
      <c r="S66" s="5"/>
      <c r="T66" s="7"/>
      <c r="U66" s="7"/>
      <c r="V66" s="7"/>
      <c r="W66" s="2"/>
      <c r="X66" s="11"/>
      <c r="Y66" s="11"/>
      <c r="Z66" s="11"/>
      <c r="AA66" s="11"/>
      <c r="AB66" s="11"/>
      <c r="AC66" s="2"/>
      <c r="AD66" s="2"/>
    </row>
    <row r="67" spans="1:30">
      <c r="A67" s="96" t="s">
        <v>145</v>
      </c>
      <c r="B67" s="2"/>
      <c r="C67" s="2"/>
      <c r="D67" s="2"/>
      <c r="E67" s="2"/>
      <c r="F67" s="2"/>
      <c r="G67" s="2"/>
      <c r="H67" s="2"/>
      <c r="I67" s="2"/>
      <c r="J67" s="2"/>
      <c r="K67" s="7"/>
      <c r="L67" s="7"/>
      <c r="M67" s="7"/>
      <c r="N67" s="7"/>
      <c r="O67" s="7"/>
      <c r="P67" s="5"/>
      <c r="Q67" s="5"/>
      <c r="R67" s="5"/>
      <c r="S67" s="7"/>
      <c r="T67" s="7"/>
      <c r="U67" s="7"/>
      <c r="V67" s="7"/>
      <c r="W67" s="2"/>
      <c r="X67" s="2"/>
      <c r="Y67" s="2"/>
      <c r="Z67" s="2"/>
      <c r="AA67" s="2"/>
      <c r="AB67" s="2"/>
      <c r="AC67" s="2"/>
      <c r="AD67" s="2"/>
    </row>
    <row r="68" spans="1:30">
      <c r="A68" s="2"/>
      <c r="B68" s="2"/>
      <c r="C68" s="2"/>
      <c r="D68" s="2"/>
      <c r="E68" s="2"/>
      <c r="F68" s="2"/>
      <c r="G68" s="2"/>
      <c r="H68" s="2"/>
      <c r="I68" s="2"/>
      <c r="J68" s="2"/>
      <c r="K68" s="7"/>
      <c r="L68" s="7"/>
      <c r="M68" s="7"/>
      <c r="N68" s="7"/>
      <c r="O68" s="7"/>
      <c r="P68" s="5"/>
      <c r="Q68" s="5"/>
      <c r="R68" s="5"/>
      <c r="S68" s="7"/>
      <c r="T68" s="7"/>
      <c r="U68" s="7"/>
      <c r="V68" s="7"/>
      <c r="W68" s="2"/>
      <c r="X68" s="2"/>
      <c r="Y68" s="2"/>
      <c r="Z68" s="2"/>
      <c r="AA68" s="2"/>
      <c r="AB68" s="2"/>
      <c r="AC68" s="2"/>
      <c r="AD68" s="2"/>
    </row>
    <row r="69" spans="1:30">
      <c r="A69" s="2" t="s">
        <v>149</v>
      </c>
      <c r="B69" s="2"/>
      <c r="C69" s="2"/>
      <c r="D69" s="2"/>
      <c r="E69" s="2"/>
      <c r="F69" s="2"/>
      <c r="G69" s="2"/>
      <c r="H69" s="2"/>
      <c r="I69" s="2"/>
      <c r="J69" s="2"/>
      <c r="K69" s="7"/>
      <c r="L69" s="7"/>
      <c r="M69" s="7"/>
      <c r="N69" s="7"/>
      <c r="O69" s="7"/>
      <c r="P69" s="7"/>
      <c r="Q69" s="7"/>
      <c r="R69" s="5"/>
      <c r="S69" s="7"/>
      <c r="T69" s="7"/>
      <c r="U69" s="7"/>
      <c r="V69" s="7"/>
      <c r="W69" s="2"/>
      <c r="X69" s="2"/>
      <c r="Y69" s="2"/>
      <c r="Z69" s="2"/>
      <c r="AA69" s="2"/>
      <c r="AB69" s="2"/>
      <c r="AC69" s="2"/>
      <c r="AD69" s="2"/>
    </row>
    <row r="70" spans="1:3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7"/>
      <c r="Q70" s="7"/>
      <c r="R70" s="7"/>
      <c r="S70" s="7"/>
      <c r="T70" s="7"/>
      <c r="U70" s="7"/>
      <c r="V70" s="7"/>
      <c r="W70" s="2"/>
      <c r="X70" s="2"/>
      <c r="Y70" s="2"/>
      <c r="Z70" s="2"/>
      <c r="AA70" s="2"/>
      <c r="AB70" s="2"/>
      <c r="AC70" s="2"/>
      <c r="AD70" s="2"/>
    </row>
    <row r="71" spans="1:30">
      <c r="A71" s="2" t="s">
        <v>148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7"/>
      <c r="Q71" s="7"/>
      <c r="R71" s="7"/>
      <c r="S71" s="7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>
      <c r="A72" s="2" t="s">
        <v>101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7"/>
      <c r="Q72" s="7"/>
      <c r="R72" s="7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7"/>
      <c r="Q73" s="7"/>
      <c r="R73" s="7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>
      <c r="A74" s="2" t="s">
        <v>117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7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>
      <c r="A75" s="9"/>
      <c r="B75" s="10"/>
      <c r="C75" s="10"/>
      <c r="D75" s="10"/>
      <c r="E75" s="10"/>
      <c r="F75" s="10"/>
      <c r="G75" s="10"/>
      <c r="H75" s="10"/>
      <c r="I75" s="10"/>
      <c r="J75" s="10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>
      <c r="A76" s="2" t="s">
        <v>143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</sheetData>
  <mergeCells count="2">
    <mergeCell ref="C4:F4"/>
    <mergeCell ref="G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workbookViewId="0">
      <selection activeCell="I20" sqref="I20"/>
    </sheetView>
  </sheetViews>
  <sheetFormatPr defaultRowHeight="14.4"/>
  <cols>
    <col min="1" max="1" width="44.33203125" customWidth="1"/>
    <col min="2" max="2" width="15.6640625" bestFit="1" customWidth="1"/>
  </cols>
  <sheetData>
    <row r="1" spans="1:9" ht="15.6">
      <c r="A1" s="103">
        <v>2024</v>
      </c>
      <c r="B1" s="104" t="s">
        <v>40</v>
      </c>
      <c r="C1" s="18"/>
      <c r="D1" s="16"/>
      <c r="E1" s="16"/>
      <c r="F1" s="16"/>
      <c r="G1" s="16"/>
      <c r="H1" s="16"/>
      <c r="I1" s="17"/>
    </row>
    <row r="2" spans="1:9" ht="15.6">
      <c r="A2" s="1"/>
      <c r="B2" s="19">
        <v>33000000</v>
      </c>
      <c r="C2" s="16"/>
      <c r="D2" s="16"/>
      <c r="E2" s="16"/>
      <c r="F2" s="16"/>
      <c r="G2" s="16"/>
      <c r="H2" s="16"/>
      <c r="I2" s="17"/>
    </row>
    <row r="3" spans="1:9">
      <c r="A3" s="20" t="s">
        <v>36</v>
      </c>
      <c r="B3" s="21">
        <v>5000000</v>
      </c>
      <c r="C3" s="17"/>
      <c r="D3" s="17"/>
      <c r="E3" s="17"/>
      <c r="F3" s="17"/>
      <c r="G3" s="17"/>
      <c r="H3" s="17"/>
      <c r="I3" s="17"/>
    </row>
    <row r="4" spans="1:9">
      <c r="A4" s="22" t="s">
        <v>48</v>
      </c>
      <c r="B4" s="23">
        <v>500000</v>
      </c>
      <c r="C4" s="17"/>
      <c r="D4" s="17"/>
      <c r="E4" s="17"/>
      <c r="F4" s="17"/>
      <c r="G4" s="17"/>
      <c r="H4" s="17"/>
      <c r="I4" s="17"/>
    </row>
    <row r="5" spans="1:9">
      <c r="A5" s="22" t="s">
        <v>35</v>
      </c>
      <c r="B5" s="23">
        <v>3000000</v>
      </c>
    </row>
    <row r="6" spans="1:9">
      <c r="A6" s="22" t="s">
        <v>44</v>
      </c>
      <c r="B6" s="23">
        <v>300000</v>
      </c>
    </row>
    <row r="7" spans="1:9">
      <c r="A7" s="22" t="s">
        <v>37</v>
      </c>
      <c r="B7" s="23">
        <v>1200000</v>
      </c>
    </row>
    <row r="8" spans="1:9">
      <c r="A8" s="22" t="s">
        <v>38</v>
      </c>
      <c r="B8" s="25"/>
    </row>
    <row r="9" spans="1:9">
      <c r="A9" s="22"/>
      <c r="B9" s="25"/>
    </row>
    <row r="10" spans="1:9">
      <c r="A10" s="105" t="s">
        <v>39</v>
      </c>
      <c r="B10" s="106">
        <v>8000000</v>
      </c>
    </row>
    <row r="11" spans="1:9">
      <c r="A11" s="22" t="s">
        <v>41</v>
      </c>
      <c r="B11" s="25">
        <v>3500000</v>
      </c>
    </row>
    <row r="12" spans="1:9">
      <c r="A12" s="22" t="s">
        <v>42</v>
      </c>
      <c r="B12" s="25">
        <v>1000000</v>
      </c>
    </row>
    <row r="13" spans="1:9">
      <c r="A13" s="22" t="s">
        <v>43</v>
      </c>
      <c r="B13" s="25">
        <v>2000000</v>
      </c>
    </row>
    <row r="14" spans="1:9">
      <c r="A14" s="22" t="s">
        <v>46</v>
      </c>
      <c r="B14" s="25">
        <v>500000</v>
      </c>
    </row>
    <row r="15" spans="1:9">
      <c r="A15" s="22" t="s">
        <v>51</v>
      </c>
      <c r="B15" s="25">
        <v>1000000</v>
      </c>
    </row>
    <row r="16" spans="1:9">
      <c r="A16" s="22"/>
      <c r="B16" s="25"/>
    </row>
    <row r="17" spans="1:2">
      <c r="A17" s="105" t="s">
        <v>45</v>
      </c>
      <c r="B17" s="106">
        <v>20000000</v>
      </c>
    </row>
    <row r="18" spans="1:2">
      <c r="A18" s="22" t="s">
        <v>50</v>
      </c>
      <c r="B18" s="25">
        <v>3000000</v>
      </c>
    </row>
    <row r="19" spans="1:2">
      <c r="A19" s="22" t="s">
        <v>47</v>
      </c>
      <c r="B19" s="25">
        <v>15000000</v>
      </c>
    </row>
    <row r="20" spans="1:2">
      <c r="A20" s="22" t="s">
        <v>43</v>
      </c>
      <c r="B20" s="25">
        <v>1000000</v>
      </c>
    </row>
    <row r="21" spans="1:2">
      <c r="A21" s="22" t="s">
        <v>49</v>
      </c>
      <c r="B21" s="25">
        <v>1000000</v>
      </c>
    </row>
    <row r="22" spans="1:2">
      <c r="B22" s="26"/>
    </row>
    <row r="23" spans="1:2">
      <c r="B23" s="26"/>
    </row>
    <row r="24" spans="1:2">
      <c r="B24" s="26"/>
    </row>
    <row r="25" spans="1:2">
      <c r="A25" s="101" t="s">
        <v>52</v>
      </c>
      <c r="B25" s="102">
        <v>41000000</v>
      </c>
    </row>
    <row r="26" spans="1:2" ht="28.8">
      <c r="A26" s="24" t="s">
        <v>53</v>
      </c>
      <c r="B26" s="25">
        <v>4000000</v>
      </c>
    </row>
    <row r="27" spans="1:2">
      <c r="A27" s="22" t="s">
        <v>58</v>
      </c>
      <c r="B27" s="25">
        <v>15000000</v>
      </c>
    </row>
    <row r="28" spans="1:2">
      <c r="A28" s="22" t="s">
        <v>54</v>
      </c>
      <c r="B28" s="25">
        <v>15000000</v>
      </c>
    </row>
    <row r="29" spans="1:2">
      <c r="A29" s="22" t="s">
        <v>55</v>
      </c>
      <c r="B29" s="25">
        <v>4000000</v>
      </c>
    </row>
    <row r="30" spans="1:2">
      <c r="A30" s="22" t="s">
        <v>56</v>
      </c>
      <c r="B30" s="25">
        <v>1000000</v>
      </c>
    </row>
    <row r="31" spans="1:2">
      <c r="A31" s="22" t="s">
        <v>57</v>
      </c>
      <c r="B31" s="25">
        <v>1000000</v>
      </c>
    </row>
    <row r="32" spans="1:2">
      <c r="A32" s="22" t="s">
        <v>49</v>
      </c>
      <c r="B32" s="25">
        <v>1000000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1" sqref="E1"/>
    </sheetView>
  </sheetViews>
  <sheetFormatPr defaultRowHeight="14.4"/>
  <cols>
    <col min="1" max="1" width="40" customWidth="1"/>
    <col min="2" max="2" width="22.5546875" customWidth="1"/>
    <col min="3" max="3" width="20.109375" customWidth="1"/>
    <col min="4" max="4" width="18.33203125" customWidth="1"/>
    <col min="5" max="5" width="27.88671875" customWidth="1"/>
  </cols>
  <sheetData>
    <row r="1" spans="1:5">
      <c r="A1" s="66" t="s">
        <v>104</v>
      </c>
      <c r="B1" s="68" t="s">
        <v>109</v>
      </c>
      <c r="C1" s="110" t="s">
        <v>108</v>
      </c>
      <c r="D1" s="110"/>
      <c r="E1" s="68" t="s">
        <v>111</v>
      </c>
    </row>
    <row r="2" spans="1:5">
      <c r="A2" s="66"/>
      <c r="B2" s="66"/>
      <c r="C2" s="67" t="s">
        <v>105</v>
      </c>
      <c r="D2" s="67" t="s">
        <v>106</v>
      </c>
      <c r="E2" s="66"/>
    </row>
    <row r="3" spans="1:5">
      <c r="A3" s="22" t="s">
        <v>107</v>
      </c>
      <c r="B3" s="22">
        <v>428</v>
      </c>
      <c r="C3" s="22">
        <v>508</v>
      </c>
      <c r="D3" s="22">
        <v>587</v>
      </c>
      <c r="E3" s="22">
        <v>333</v>
      </c>
    </row>
    <row r="4" spans="1:5">
      <c r="A4" s="22" t="s">
        <v>110</v>
      </c>
      <c r="B4" s="22">
        <v>963</v>
      </c>
      <c r="C4" s="22">
        <v>771</v>
      </c>
      <c r="D4" s="22">
        <v>963</v>
      </c>
      <c r="E4" s="22">
        <v>833</v>
      </c>
    </row>
    <row r="5" spans="1:5">
      <c r="A5" s="22"/>
      <c r="B5" s="22"/>
      <c r="C5" s="22"/>
      <c r="D5" s="22"/>
      <c r="E5" s="22"/>
    </row>
    <row r="6" spans="1:5">
      <c r="A6" s="22"/>
      <c r="B6" s="22"/>
      <c r="C6" s="22"/>
      <c r="D6" s="22"/>
      <c r="E6" s="22"/>
    </row>
    <row r="7" spans="1:5" ht="72">
      <c r="A7" s="22" t="s">
        <v>112</v>
      </c>
      <c r="B7" s="24" t="s">
        <v>113</v>
      </c>
      <c r="C7" s="111" t="s">
        <v>114</v>
      </c>
      <c r="D7" s="111"/>
      <c r="E7" s="24" t="s">
        <v>115</v>
      </c>
    </row>
    <row r="8" spans="1:5">
      <c r="A8" s="69" t="s">
        <v>116</v>
      </c>
    </row>
  </sheetData>
  <mergeCells count="2">
    <mergeCell ref="C1:D1"/>
    <mergeCell ref="C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Консервативный сценарий</vt:lpstr>
      <vt:lpstr>Реальный сценарий</vt:lpstr>
      <vt:lpstr>Оптимистичный сценарий</vt:lpstr>
      <vt:lpstr>Сроки и стоимость работ</vt:lpstr>
      <vt:lpstr>Конкуренты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Екатерина Макарова</cp:lastModifiedBy>
  <cp:lastPrinted>2024-04-24T09:23:59Z</cp:lastPrinted>
  <dcterms:created xsi:type="dcterms:W3CDTF">2021-02-02T05:56:05Z</dcterms:created>
  <dcterms:modified xsi:type="dcterms:W3CDTF">2024-05-19T11:12:23Z</dcterms:modified>
</cp:coreProperties>
</file>