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адм\Desktop\COLIZEUM\COLIZEUM для КА\Фин.модель регионы\"/>
    </mc:Choice>
  </mc:AlternateContent>
  <xr:revisionPtr revIDLastSave="0" documentId="8_{D580A381-CCF7-4F43-BF29-8F1736B81C1B}" xr6:coauthVersionLast="47" xr6:coauthVersionMax="47" xr10:uidLastSave="{00000000-0000-0000-0000-000000000000}"/>
  <bookViews>
    <workbookView xWindow="-108" yWindow="-108" windowWidth="23256" windowHeight="12456" tabRatio="659" xr2:uid="{00000000-000D-0000-FFFF-FFFF00000000}"/>
  </bookViews>
  <sheets>
    <sheet name="Вводные данные" sheetId="11" r:id="rId1"/>
    <sheet name="Модель" sheetId="12" r:id="rId2"/>
    <sheet name="Результаты" sheetId="14" r:id="rId3"/>
    <sheet name="Спецификация" sheetId="17" r:id="rId4"/>
  </sheets>
  <definedNames>
    <definedName name="_xlnm._FilterDatabase" localSheetId="0" hidden="1">'Вводные данные'!$C$75:$E$82</definedName>
    <definedName name="_xlnm.Print_Area" localSheetId="2">Результаты!$A$1:$Q$66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5" i="11" l="1"/>
  <c r="G115" i="11"/>
  <c r="G114" i="11"/>
  <c r="G113" i="11"/>
  <c r="G112" i="11"/>
  <c r="G111" i="11"/>
  <c r="G110" i="11"/>
  <c r="G109" i="11"/>
  <c r="G108" i="11"/>
  <c r="G107" i="11"/>
  <c r="G106" i="11"/>
  <c r="G22" i="17"/>
  <c r="E29" i="11"/>
  <c r="E9" i="11"/>
  <c r="E10" i="11"/>
  <c r="F7" i="17"/>
  <c r="D7" i="17"/>
  <c r="G7" i="17"/>
  <c r="F6" i="17"/>
  <c r="D6" i="17"/>
  <c r="G6" i="17"/>
  <c r="AP105" i="12"/>
  <c r="AQ105" i="12"/>
  <c r="AR105" i="12"/>
  <c r="AS105" i="12"/>
  <c r="AT105" i="12"/>
  <c r="AU105" i="12"/>
  <c r="AV105" i="12"/>
  <c r="AW105" i="12"/>
  <c r="AX105" i="12"/>
  <c r="AY105" i="12"/>
  <c r="AZ105" i="12"/>
  <c r="BA105" i="12"/>
  <c r="BB105" i="12"/>
  <c r="BC105" i="12"/>
  <c r="BD105" i="12"/>
  <c r="BE105" i="12"/>
  <c r="BF105" i="12"/>
  <c r="BG105" i="12"/>
  <c r="BH105" i="12"/>
  <c r="BI105" i="12"/>
  <c r="BJ105" i="12"/>
  <c r="BK105" i="12"/>
  <c r="BL105" i="12"/>
  <c r="BM105" i="12"/>
  <c r="E77" i="11"/>
  <c r="E82" i="11"/>
  <c r="G105" i="12"/>
  <c r="AM105" i="12"/>
  <c r="AA105" i="12"/>
  <c r="F105" i="12"/>
  <c r="AL105" i="12"/>
  <c r="AH105" i="12"/>
  <c r="AD105" i="12"/>
  <c r="Z105" i="12"/>
  <c r="V105" i="12"/>
  <c r="R105" i="12"/>
  <c r="N105" i="12"/>
  <c r="J105" i="12"/>
  <c r="AO105" i="12"/>
  <c r="AK105" i="12"/>
  <c r="AG105" i="12"/>
  <c r="AC105" i="12"/>
  <c r="Y105" i="12"/>
  <c r="U105" i="12"/>
  <c r="Q105" i="12"/>
  <c r="M105" i="12"/>
  <c r="I105" i="12"/>
  <c r="AN105" i="12"/>
  <c r="AJ105" i="12"/>
  <c r="AF105" i="12"/>
  <c r="AB105" i="12"/>
  <c r="X105" i="12"/>
  <c r="T105" i="12"/>
  <c r="P105" i="12"/>
  <c r="L105" i="12"/>
  <c r="H105" i="12"/>
  <c r="AI105" i="12"/>
  <c r="AE105" i="12"/>
  <c r="W105" i="12"/>
  <c r="S105" i="12"/>
  <c r="O105" i="12"/>
  <c r="K105" i="12"/>
  <c r="F99" i="12"/>
  <c r="G99" i="12"/>
  <c r="H99" i="12"/>
  <c r="I99" i="12"/>
  <c r="J99" i="12"/>
  <c r="K99" i="12"/>
  <c r="L99" i="12"/>
  <c r="M99" i="12"/>
  <c r="N99" i="12"/>
  <c r="O99" i="12"/>
  <c r="P99" i="12"/>
  <c r="Q99" i="12"/>
  <c r="R99" i="12"/>
  <c r="S99" i="12"/>
  <c r="T99" i="12"/>
  <c r="U99" i="12"/>
  <c r="V99" i="12"/>
  <c r="W99" i="12"/>
  <c r="X99" i="12"/>
  <c r="Y99" i="12"/>
  <c r="Z99" i="12"/>
  <c r="AA99" i="12"/>
  <c r="AB99" i="12"/>
  <c r="AC99" i="12"/>
  <c r="AD99" i="12"/>
  <c r="AE99" i="12"/>
  <c r="AF99" i="12"/>
  <c r="AG99" i="12"/>
  <c r="AH99" i="12"/>
  <c r="AI99" i="12"/>
  <c r="AJ99" i="12"/>
  <c r="AK99" i="12"/>
  <c r="AL99" i="12"/>
  <c r="AM99" i="12"/>
  <c r="AN99" i="12"/>
  <c r="AO99" i="12"/>
  <c r="AP99" i="12"/>
  <c r="AQ99" i="12"/>
  <c r="AR99" i="12"/>
  <c r="AS99" i="12"/>
  <c r="AT99" i="12"/>
  <c r="AU99" i="12"/>
  <c r="AV99" i="12"/>
  <c r="AW99" i="12"/>
  <c r="AX99" i="12"/>
  <c r="AY99" i="12"/>
  <c r="AZ99" i="12"/>
  <c r="BA99" i="12"/>
  <c r="BB99" i="12"/>
  <c r="BC99" i="12"/>
  <c r="BD99" i="12"/>
  <c r="BE99" i="12"/>
  <c r="BF99" i="12"/>
  <c r="BG99" i="12"/>
  <c r="BH99" i="12"/>
  <c r="BI99" i="12"/>
  <c r="BJ99" i="12"/>
  <c r="BK99" i="12"/>
  <c r="BL99" i="12"/>
  <c r="BM99" i="12"/>
  <c r="F97" i="12"/>
  <c r="G97" i="12"/>
  <c r="F98" i="12"/>
  <c r="G98" i="12"/>
  <c r="H98" i="12"/>
  <c r="I98" i="12"/>
  <c r="J98" i="12"/>
  <c r="K98" i="12"/>
  <c r="L98" i="12"/>
  <c r="M98" i="12"/>
  <c r="N98" i="12"/>
  <c r="O98" i="12"/>
  <c r="P98" i="12"/>
  <c r="Q98" i="12"/>
  <c r="R98" i="12"/>
  <c r="S98" i="12"/>
  <c r="T98" i="12"/>
  <c r="U98" i="12"/>
  <c r="V98" i="12"/>
  <c r="W98" i="12"/>
  <c r="X98" i="12"/>
  <c r="Y98" i="12"/>
  <c r="Z98" i="12"/>
  <c r="AA98" i="12"/>
  <c r="AB98" i="12"/>
  <c r="AC98" i="12"/>
  <c r="AD98" i="12"/>
  <c r="AE98" i="12"/>
  <c r="AF98" i="12"/>
  <c r="AG98" i="12"/>
  <c r="AH98" i="12"/>
  <c r="AI98" i="12"/>
  <c r="AJ98" i="12"/>
  <c r="AK98" i="12"/>
  <c r="AL98" i="12"/>
  <c r="AM98" i="12"/>
  <c r="AN98" i="12"/>
  <c r="AO98" i="12"/>
  <c r="AP98" i="12"/>
  <c r="AQ98" i="12"/>
  <c r="AR98" i="12"/>
  <c r="AS98" i="12"/>
  <c r="AT98" i="12"/>
  <c r="AU98" i="12"/>
  <c r="AV98" i="12"/>
  <c r="AW98" i="12"/>
  <c r="AX98" i="12"/>
  <c r="AY98" i="12"/>
  <c r="AZ98" i="12"/>
  <c r="BA98" i="12"/>
  <c r="BB98" i="12"/>
  <c r="BC98" i="12"/>
  <c r="BD98" i="12"/>
  <c r="BE98" i="12"/>
  <c r="BF98" i="12"/>
  <c r="BG98" i="12"/>
  <c r="BH98" i="12"/>
  <c r="BI98" i="12"/>
  <c r="BJ98" i="12"/>
  <c r="BK98" i="12"/>
  <c r="BL98" i="12"/>
  <c r="BM98" i="12"/>
  <c r="E47" i="11"/>
  <c r="H97" i="12"/>
  <c r="I97" i="12"/>
  <c r="J97" i="12"/>
  <c r="K97" i="12"/>
  <c r="L97" i="12"/>
  <c r="M97" i="12"/>
  <c r="N97" i="12"/>
  <c r="O97" i="12"/>
  <c r="P97" i="12"/>
  <c r="Q97" i="12"/>
  <c r="R97" i="12"/>
  <c r="S97" i="12"/>
  <c r="T97" i="12"/>
  <c r="U97" i="12"/>
  <c r="V97" i="12"/>
  <c r="W97" i="12"/>
  <c r="X97" i="12"/>
  <c r="Y97" i="12"/>
  <c r="Z97" i="12"/>
  <c r="AA97" i="12"/>
  <c r="AB97" i="12"/>
  <c r="AC97" i="12"/>
  <c r="AD97" i="12"/>
  <c r="AE97" i="12"/>
  <c r="AF97" i="12"/>
  <c r="AG97" i="12"/>
  <c r="AH97" i="12"/>
  <c r="AI97" i="12"/>
  <c r="AJ97" i="12"/>
  <c r="AK97" i="12"/>
  <c r="AL97" i="12"/>
  <c r="AM97" i="12"/>
  <c r="AN97" i="12"/>
  <c r="AO97" i="12"/>
  <c r="AP97" i="12"/>
  <c r="AQ97" i="12"/>
  <c r="AR97" i="12"/>
  <c r="AS97" i="12"/>
  <c r="AT97" i="12"/>
  <c r="AU97" i="12"/>
  <c r="AV97" i="12"/>
  <c r="AW97" i="12"/>
  <c r="AX97" i="12"/>
  <c r="AY97" i="12"/>
  <c r="AZ97" i="12"/>
  <c r="BA97" i="12"/>
  <c r="BB97" i="12"/>
  <c r="BC97" i="12"/>
  <c r="BD97" i="12"/>
  <c r="BE97" i="12"/>
  <c r="BF97" i="12"/>
  <c r="BG97" i="12"/>
  <c r="BH97" i="12"/>
  <c r="BI97" i="12"/>
  <c r="BJ97" i="12"/>
  <c r="BK97" i="12"/>
  <c r="BL97" i="12"/>
  <c r="BM97" i="12"/>
  <c r="F96" i="12"/>
  <c r="G96" i="12"/>
  <c r="H96" i="12"/>
  <c r="I96" i="12"/>
  <c r="J96" i="12"/>
  <c r="K96" i="12"/>
  <c r="L96" i="12"/>
  <c r="M96" i="12"/>
  <c r="N96" i="12"/>
  <c r="O96" i="12"/>
  <c r="P96" i="12"/>
  <c r="Q96" i="12"/>
  <c r="R96" i="12"/>
  <c r="S96" i="12"/>
  <c r="T96" i="12"/>
  <c r="U96" i="12"/>
  <c r="V96" i="12"/>
  <c r="W96" i="12"/>
  <c r="X96" i="12"/>
  <c r="Y96" i="12"/>
  <c r="Z96" i="12"/>
  <c r="AA96" i="12"/>
  <c r="AB96" i="12"/>
  <c r="AC96" i="12"/>
  <c r="AD96" i="12"/>
  <c r="AE96" i="12"/>
  <c r="AF96" i="12"/>
  <c r="AG96" i="12"/>
  <c r="AH96" i="12"/>
  <c r="AI96" i="12"/>
  <c r="AJ96" i="12"/>
  <c r="AK96" i="12"/>
  <c r="AL96" i="12"/>
  <c r="AM96" i="12"/>
  <c r="AN96" i="12"/>
  <c r="AO96" i="12"/>
  <c r="AP96" i="12"/>
  <c r="AQ96" i="12"/>
  <c r="AR96" i="12"/>
  <c r="AS96" i="12"/>
  <c r="AT96" i="12"/>
  <c r="AU96" i="12"/>
  <c r="AV96" i="12"/>
  <c r="AW96" i="12"/>
  <c r="AX96" i="12"/>
  <c r="AY96" i="12"/>
  <c r="AZ96" i="12"/>
  <c r="BA96" i="12"/>
  <c r="BB96" i="12"/>
  <c r="BC96" i="12"/>
  <c r="BD96" i="12"/>
  <c r="BE96" i="12"/>
  <c r="BF96" i="12"/>
  <c r="BG96" i="12"/>
  <c r="BH96" i="12"/>
  <c r="BI96" i="12"/>
  <c r="BJ96" i="12"/>
  <c r="BK96" i="12"/>
  <c r="BL96" i="12"/>
  <c r="BM96" i="12"/>
  <c r="F23" i="12"/>
  <c r="G23" i="12"/>
  <c r="H23" i="12"/>
  <c r="I23" i="12"/>
  <c r="J23" i="12"/>
  <c r="K23" i="12"/>
  <c r="L23" i="12"/>
  <c r="M23" i="12"/>
  <c r="N23" i="12"/>
  <c r="O23" i="12"/>
  <c r="P23" i="12"/>
  <c r="Q23" i="12"/>
  <c r="R23" i="12"/>
  <c r="S23" i="12"/>
  <c r="T23" i="12"/>
  <c r="U23" i="12"/>
  <c r="V23" i="12"/>
  <c r="W23" i="12"/>
  <c r="X23" i="12"/>
  <c r="Y23" i="12"/>
  <c r="Z23" i="12"/>
  <c r="AA23" i="12"/>
  <c r="AB23" i="12"/>
  <c r="AC23" i="12"/>
  <c r="AD23" i="12"/>
  <c r="AE23" i="12"/>
  <c r="AF23" i="12"/>
  <c r="AG23" i="12"/>
  <c r="AH23" i="12"/>
  <c r="AI23" i="12"/>
  <c r="AJ23" i="12"/>
  <c r="AK23" i="12"/>
  <c r="AL23" i="12"/>
  <c r="AM23" i="12"/>
  <c r="AN23" i="12"/>
  <c r="AO23" i="12"/>
  <c r="AP23" i="12"/>
  <c r="AQ23" i="12"/>
  <c r="AR23" i="12"/>
  <c r="AS23" i="12"/>
  <c r="AT23" i="12"/>
  <c r="AU23" i="12"/>
  <c r="AV23" i="12"/>
  <c r="AW23" i="12"/>
  <c r="AX23" i="12"/>
  <c r="AY23" i="12"/>
  <c r="AZ23" i="12"/>
  <c r="BA23" i="12"/>
  <c r="BB23" i="12"/>
  <c r="BC23" i="12"/>
  <c r="BD23" i="12"/>
  <c r="BE23" i="12"/>
  <c r="BF23" i="12"/>
  <c r="BG23" i="12"/>
  <c r="BH23" i="12"/>
  <c r="BI23" i="12"/>
  <c r="BJ23" i="12"/>
  <c r="BK23" i="12"/>
  <c r="BL23" i="12"/>
  <c r="BM23" i="12"/>
  <c r="F13" i="12"/>
  <c r="G13" i="12"/>
  <c r="H13" i="12"/>
  <c r="I13" i="12"/>
  <c r="J13" i="12"/>
  <c r="K13" i="12"/>
  <c r="L13" i="12"/>
  <c r="M13" i="12"/>
  <c r="N13" i="12"/>
  <c r="O13" i="12"/>
  <c r="P13" i="12"/>
  <c r="Q13" i="12"/>
  <c r="R13" i="12"/>
  <c r="S13" i="12"/>
  <c r="T13" i="12"/>
  <c r="U13" i="12"/>
  <c r="V13" i="12"/>
  <c r="W13" i="12"/>
  <c r="X13" i="12"/>
  <c r="Y13" i="12"/>
  <c r="Z13" i="12"/>
  <c r="AA13" i="12"/>
  <c r="AB13" i="12"/>
  <c r="AC13" i="12"/>
  <c r="AD13" i="12"/>
  <c r="AE13" i="12"/>
  <c r="AF13" i="12"/>
  <c r="AG13" i="12"/>
  <c r="AH13" i="12"/>
  <c r="AI13" i="12"/>
  <c r="AJ13" i="12"/>
  <c r="AK13" i="12"/>
  <c r="AL13" i="12"/>
  <c r="AM13" i="12"/>
  <c r="AN13" i="12"/>
  <c r="AO13" i="12"/>
  <c r="AP13" i="12"/>
  <c r="AQ13" i="12"/>
  <c r="AR13" i="12"/>
  <c r="AS13" i="12"/>
  <c r="AT13" i="12"/>
  <c r="AU13" i="12"/>
  <c r="AV13" i="12"/>
  <c r="AW13" i="12"/>
  <c r="AX13" i="12"/>
  <c r="AY13" i="12"/>
  <c r="AZ13" i="12"/>
  <c r="BA13" i="12"/>
  <c r="BB13" i="12"/>
  <c r="BC13" i="12"/>
  <c r="BD13" i="12"/>
  <c r="BE13" i="12"/>
  <c r="BF13" i="12"/>
  <c r="BG13" i="12"/>
  <c r="BH13" i="12"/>
  <c r="BI13" i="12"/>
  <c r="BJ13" i="12"/>
  <c r="BK13" i="12"/>
  <c r="BL13" i="12"/>
  <c r="BM13" i="12"/>
  <c r="G24" i="17"/>
  <c r="G23" i="17"/>
  <c r="F20" i="17"/>
  <c r="D20" i="17"/>
  <c r="G20" i="17"/>
  <c r="F19" i="17"/>
  <c r="D19" i="17"/>
  <c r="G19" i="17"/>
  <c r="F18" i="17"/>
  <c r="D18" i="17"/>
  <c r="G18" i="17"/>
  <c r="F16" i="17"/>
  <c r="D16" i="17"/>
  <c r="G16" i="17"/>
  <c r="F15" i="17"/>
  <c r="D15" i="17"/>
  <c r="G15" i="17"/>
  <c r="F14" i="17"/>
  <c r="D14" i="17"/>
  <c r="G14" i="17"/>
  <c r="F12" i="17"/>
  <c r="D12" i="17"/>
  <c r="G12" i="17"/>
  <c r="F11" i="17"/>
  <c r="D11" i="17"/>
  <c r="G11" i="17"/>
  <c r="F10" i="17"/>
  <c r="D10" i="17"/>
  <c r="G10" i="17"/>
  <c r="F9" i="17"/>
  <c r="D9" i="17"/>
  <c r="G9" i="17"/>
  <c r="I75" i="12"/>
  <c r="F52" i="12"/>
  <c r="F53" i="12"/>
  <c r="D26" i="17"/>
  <c r="F97" i="11"/>
  <c r="D27" i="17"/>
  <c r="G52" i="12"/>
  <c r="H52" i="12"/>
  <c r="I52" i="12"/>
  <c r="J52" i="12"/>
  <c r="K52" i="12"/>
  <c r="L52" i="12"/>
  <c r="M52" i="12"/>
  <c r="N52" i="12"/>
  <c r="O52" i="12"/>
  <c r="P52" i="12"/>
  <c r="Q52" i="12"/>
  <c r="R52" i="12"/>
  <c r="S52" i="12"/>
  <c r="T52" i="12"/>
  <c r="U52" i="12"/>
  <c r="V52" i="12"/>
  <c r="W52" i="12"/>
  <c r="X52" i="12"/>
  <c r="Y52" i="12"/>
  <c r="Z52" i="12"/>
  <c r="AA52" i="12"/>
  <c r="AB52" i="12"/>
  <c r="AC52" i="12"/>
  <c r="AD52" i="12"/>
  <c r="AE52" i="12"/>
  <c r="AF52" i="12"/>
  <c r="AG52" i="12"/>
  <c r="AH52" i="12"/>
  <c r="AI52" i="12"/>
  <c r="AJ52" i="12"/>
  <c r="AK52" i="12"/>
  <c r="AL52" i="12"/>
  <c r="AM52" i="12"/>
  <c r="AN52" i="12"/>
  <c r="AO52" i="12"/>
  <c r="AP52" i="12"/>
  <c r="AQ52" i="12"/>
  <c r="AR52" i="12"/>
  <c r="AS52" i="12"/>
  <c r="AT52" i="12"/>
  <c r="AU52" i="12"/>
  <c r="AV52" i="12"/>
  <c r="AW52" i="12"/>
  <c r="AX52" i="12"/>
  <c r="AY52" i="12"/>
  <c r="AZ52" i="12"/>
  <c r="BA52" i="12"/>
  <c r="BB52" i="12"/>
  <c r="BC52" i="12"/>
  <c r="BD52" i="12"/>
  <c r="BE52" i="12"/>
  <c r="BF52" i="12"/>
  <c r="BG52" i="12"/>
  <c r="BH52" i="12"/>
  <c r="BI52" i="12"/>
  <c r="BJ52" i="12"/>
  <c r="BK52" i="12"/>
  <c r="BL52" i="12"/>
  <c r="BM52" i="12"/>
  <c r="G102" i="11"/>
  <c r="G27" i="17"/>
  <c r="G26" i="17"/>
  <c r="G51" i="12"/>
  <c r="H51" i="12"/>
  <c r="I51" i="12"/>
  <c r="J51" i="12"/>
  <c r="K51" i="12"/>
  <c r="L51" i="12"/>
  <c r="M51" i="12"/>
  <c r="N51" i="12"/>
  <c r="O51" i="12"/>
  <c r="P51" i="12"/>
  <c r="Q51" i="12"/>
  <c r="R51" i="12"/>
  <c r="S51" i="12"/>
  <c r="T51" i="12"/>
  <c r="U51" i="12"/>
  <c r="V51" i="12"/>
  <c r="W51" i="12"/>
  <c r="X51" i="12"/>
  <c r="Y51" i="12"/>
  <c r="Z51" i="12"/>
  <c r="AA51" i="12"/>
  <c r="AB51" i="12"/>
  <c r="AC51" i="12"/>
  <c r="AD51" i="12"/>
  <c r="AE51" i="12"/>
  <c r="AF51" i="12"/>
  <c r="AG51" i="12"/>
  <c r="AH51" i="12"/>
  <c r="AI51" i="12"/>
  <c r="AJ51" i="12"/>
  <c r="AK51" i="12"/>
  <c r="AL51" i="12"/>
  <c r="AM51" i="12"/>
  <c r="AN51" i="12"/>
  <c r="AO51" i="12"/>
  <c r="AP51" i="12"/>
  <c r="AQ51" i="12"/>
  <c r="AR51" i="12"/>
  <c r="AS51" i="12"/>
  <c r="AT51" i="12"/>
  <c r="AU51" i="12"/>
  <c r="AV51" i="12"/>
  <c r="AW51" i="12"/>
  <c r="AX51" i="12"/>
  <c r="AY51" i="12"/>
  <c r="AZ51" i="12"/>
  <c r="BA51" i="12"/>
  <c r="BB51" i="12"/>
  <c r="BC51" i="12"/>
  <c r="BD51" i="12"/>
  <c r="BE51" i="12"/>
  <c r="BF51" i="12"/>
  <c r="BG51" i="12"/>
  <c r="BH51" i="12"/>
  <c r="BI51" i="12"/>
  <c r="BJ51" i="12"/>
  <c r="BK51" i="12"/>
  <c r="BL51" i="12"/>
  <c r="BM51" i="12"/>
  <c r="F51" i="12"/>
  <c r="G120" i="11"/>
  <c r="F56" i="12"/>
  <c r="F101" i="11"/>
  <c r="F87" i="12"/>
  <c r="G87" i="12"/>
  <c r="H87" i="12"/>
  <c r="I87" i="12"/>
  <c r="J87" i="12"/>
  <c r="K87" i="12"/>
  <c r="L87" i="12"/>
  <c r="M87" i="12"/>
  <c r="N87" i="12"/>
  <c r="O87" i="12"/>
  <c r="P87" i="12"/>
  <c r="Q87" i="12"/>
  <c r="R87" i="12"/>
  <c r="S87" i="12"/>
  <c r="T87" i="12"/>
  <c r="U87" i="12"/>
  <c r="V87" i="12"/>
  <c r="W87" i="12"/>
  <c r="X87" i="12"/>
  <c r="Y87" i="12"/>
  <c r="Z87" i="12"/>
  <c r="AA87" i="12"/>
  <c r="AB87" i="12"/>
  <c r="AC87" i="12"/>
  <c r="AD87" i="12"/>
  <c r="AE87" i="12"/>
  <c r="AF87" i="12"/>
  <c r="AG87" i="12"/>
  <c r="AH87" i="12"/>
  <c r="AI87" i="12"/>
  <c r="AJ87" i="12"/>
  <c r="AK87" i="12"/>
  <c r="AL87" i="12"/>
  <c r="AM87" i="12"/>
  <c r="AN87" i="12"/>
  <c r="AO87" i="12"/>
  <c r="AP87" i="12"/>
  <c r="AQ87" i="12"/>
  <c r="AR87" i="12"/>
  <c r="AS87" i="12"/>
  <c r="AT87" i="12"/>
  <c r="AU87" i="12"/>
  <c r="AV87" i="12"/>
  <c r="AW87" i="12"/>
  <c r="AX87" i="12"/>
  <c r="AY87" i="12"/>
  <c r="AZ87" i="12"/>
  <c r="BA87" i="12"/>
  <c r="BB87" i="12"/>
  <c r="BC87" i="12"/>
  <c r="BD87" i="12"/>
  <c r="BE87" i="12"/>
  <c r="BF87" i="12"/>
  <c r="BG87" i="12"/>
  <c r="BH87" i="12"/>
  <c r="BI87" i="12"/>
  <c r="BJ87" i="12"/>
  <c r="BK87" i="12"/>
  <c r="BL87" i="12"/>
  <c r="BM87" i="12"/>
  <c r="F90" i="12"/>
  <c r="F91" i="12"/>
  <c r="C72" i="12"/>
  <c r="C61" i="12"/>
  <c r="F106" i="12"/>
  <c r="C106" i="12"/>
  <c r="F101" i="12"/>
  <c r="F102" i="12"/>
  <c r="G102" i="12"/>
  <c r="H102" i="12"/>
  <c r="I102" i="12"/>
  <c r="J102" i="12"/>
  <c r="K102" i="12"/>
  <c r="L102" i="12"/>
  <c r="M102" i="12"/>
  <c r="N102" i="12"/>
  <c r="O102" i="12"/>
  <c r="P102" i="12"/>
  <c r="Q102" i="12"/>
  <c r="R102" i="12"/>
  <c r="S102" i="12"/>
  <c r="T102" i="12"/>
  <c r="U102" i="12"/>
  <c r="V102" i="12"/>
  <c r="W102" i="12"/>
  <c r="X102" i="12"/>
  <c r="Y102" i="12"/>
  <c r="Z102" i="12"/>
  <c r="AA102" i="12"/>
  <c r="AB102" i="12"/>
  <c r="AC102" i="12"/>
  <c r="AD102" i="12"/>
  <c r="AE102" i="12"/>
  <c r="AF102" i="12"/>
  <c r="AG102" i="12"/>
  <c r="AH102" i="12"/>
  <c r="AI102" i="12"/>
  <c r="AJ102" i="12"/>
  <c r="AK102" i="12"/>
  <c r="AL102" i="12"/>
  <c r="AM102" i="12"/>
  <c r="AN102" i="12"/>
  <c r="AO102" i="12"/>
  <c r="AP102" i="12"/>
  <c r="AQ102" i="12"/>
  <c r="AR102" i="12"/>
  <c r="AS102" i="12"/>
  <c r="AT102" i="12"/>
  <c r="AU102" i="12"/>
  <c r="AV102" i="12"/>
  <c r="AW102" i="12"/>
  <c r="AX102" i="12"/>
  <c r="AY102" i="12"/>
  <c r="AZ102" i="12"/>
  <c r="BA102" i="12"/>
  <c r="BB102" i="12"/>
  <c r="BC102" i="12"/>
  <c r="BD102" i="12"/>
  <c r="BE102" i="12"/>
  <c r="BF102" i="12"/>
  <c r="BG102" i="12"/>
  <c r="BH102" i="12"/>
  <c r="BI102" i="12"/>
  <c r="BJ102" i="12"/>
  <c r="BK102" i="12"/>
  <c r="BL102" i="12"/>
  <c r="BM102" i="12"/>
  <c r="F103" i="12"/>
  <c r="C101" i="12"/>
  <c r="C102" i="12"/>
  <c r="C103" i="12"/>
  <c r="G65" i="12"/>
  <c r="H65" i="12"/>
  <c r="I65" i="12"/>
  <c r="J65" i="12"/>
  <c r="K65" i="12"/>
  <c r="L65" i="12"/>
  <c r="M65" i="12"/>
  <c r="N65" i="12"/>
  <c r="O65" i="12"/>
  <c r="P65" i="12"/>
  <c r="Q65" i="12"/>
  <c r="R65" i="12"/>
  <c r="S65" i="12"/>
  <c r="T65" i="12"/>
  <c r="U65" i="12"/>
  <c r="V65" i="12"/>
  <c r="W65" i="12"/>
  <c r="X65" i="12"/>
  <c r="Y65" i="12"/>
  <c r="Z65" i="12"/>
  <c r="AA65" i="12"/>
  <c r="AB65" i="12"/>
  <c r="AC65" i="12"/>
  <c r="AD65" i="12"/>
  <c r="AE65" i="12"/>
  <c r="AF65" i="12"/>
  <c r="AG65" i="12"/>
  <c r="AH65" i="12"/>
  <c r="AI65" i="12"/>
  <c r="AJ65" i="12"/>
  <c r="AK65" i="12"/>
  <c r="AL65" i="12"/>
  <c r="AM65" i="12"/>
  <c r="AN65" i="12"/>
  <c r="AO65" i="12"/>
  <c r="AP65" i="12"/>
  <c r="AQ65" i="12"/>
  <c r="AR65" i="12"/>
  <c r="AS65" i="12"/>
  <c r="AT65" i="12"/>
  <c r="AU65" i="12"/>
  <c r="AV65" i="12"/>
  <c r="AW65" i="12"/>
  <c r="AX65" i="12"/>
  <c r="AY65" i="12"/>
  <c r="AZ65" i="12"/>
  <c r="BA65" i="12"/>
  <c r="BB65" i="12"/>
  <c r="BC65" i="12"/>
  <c r="BD65" i="12"/>
  <c r="BE65" i="12"/>
  <c r="BF65" i="12"/>
  <c r="BG65" i="12"/>
  <c r="BH65" i="12"/>
  <c r="BI65" i="12"/>
  <c r="BJ65" i="12"/>
  <c r="BK65" i="12"/>
  <c r="BL65" i="12"/>
  <c r="BM65" i="12"/>
  <c r="F65" i="12"/>
  <c r="G64" i="12"/>
  <c r="H64" i="12"/>
  <c r="I64" i="12"/>
  <c r="J64" i="12"/>
  <c r="K64" i="12"/>
  <c r="L64" i="12"/>
  <c r="M64" i="12"/>
  <c r="N64" i="12"/>
  <c r="O64" i="12"/>
  <c r="P64" i="12"/>
  <c r="Q64" i="12"/>
  <c r="R64" i="12"/>
  <c r="S64" i="12"/>
  <c r="T64" i="12"/>
  <c r="U64" i="12"/>
  <c r="V64" i="12"/>
  <c r="W64" i="12"/>
  <c r="X64" i="12"/>
  <c r="Y64" i="12"/>
  <c r="Z64" i="12"/>
  <c r="AA64" i="12"/>
  <c r="AB64" i="12"/>
  <c r="AC64" i="12"/>
  <c r="AD64" i="12"/>
  <c r="AE64" i="12"/>
  <c r="AF64" i="12"/>
  <c r="AG64" i="12"/>
  <c r="AH64" i="12"/>
  <c r="AI64" i="12"/>
  <c r="AJ64" i="12"/>
  <c r="AK64" i="12"/>
  <c r="AL64" i="12"/>
  <c r="AM64" i="12"/>
  <c r="AN64" i="12"/>
  <c r="AO64" i="12"/>
  <c r="AP64" i="12"/>
  <c r="AQ64" i="12"/>
  <c r="AR64" i="12"/>
  <c r="AS64" i="12"/>
  <c r="AT64" i="12"/>
  <c r="AU64" i="12"/>
  <c r="AV64" i="12"/>
  <c r="AW64" i="12"/>
  <c r="AX64" i="12"/>
  <c r="AY64" i="12"/>
  <c r="AZ64" i="12"/>
  <c r="BA64" i="12"/>
  <c r="BB64" i="12"/>
  <c r="BC64" i="12"/>
  <c r="BD64" i="12"/>
  <c r="BE64" i="12"/>
  <c r="BF64" i="12"/>
  <c r="BG64" i="12"/>
  <c r="BH64" i="12"/>
  <c r="BI64" i="12"/>
  <c r="BJ64" i="12"/>
  <c r="BK64" i="12"/>
  <c r="BL64" i="12"/>
  <c r="BM64" i="12"/>
  <c r="F64" i="12"/>
  <c r="F15" i="12"/>
  <c r="G119" i="11"/>
  <c r="G118" i="11"/>
  <c r="G117" i="11"/>
  <c r="G103" i="12"/>
  <c r="H103" i="12"/>
  <c r="I103" i="12"/>
  <c r="J103" i="12"/>
  <c r="K103" i="12"/>
  <c r="L103" i="12"/>
  <c r="M103" i="12"/>
  <c r="N103" i="12"/>
  <c r="O103" i="12"/>
  <c r="P103" i="12"/>
  <c r="Q103" i="12"/>
  <c r="R103" i="12"/>
  <c r="S103" i="12"/>
  <c r="T103" i="12"/>
  <c r="U103" i="12"/>
  <c r="V103" i="12"/>
  <c r="W103" i="12"/>
  <c r="X103" i="12"/>
  <c r="Y103" i="12"/>
  <c r="Z103" i="12"/>
  <c r="AA103" i="12"/>
  <c r="AB103" i="12"/>
  <c r="AC103" i="12"/>
  <c r="AD103" i="12"/>
  <c r="AE103" i="12"/>
  <c r="AF103" i="12"/>
  <c r="AG103" i="12"/>
  <c r="AH103" i="12"/>
  <c r="AI103" i="12"/>
  <c r="AJ103" i="12"/>
  <c r="AK103" i="12"/>
  <c r="AL103" i="12"/>
  <c r="AM103" i="12"/>
  <c r="AN103" i="12"/>
  <c r="AO103" i="12"/>
  <c r="AP103" i="12"/>
  <c r="AQ103" i="12"/>
  <c r="AR103" i="12"/>
  <c r="AS103" i="12"/>
  <c r="AT103" i="12"/>
  <c r="AU103" i="12"/>
  <c r="AV103" i="12"/>
  <c r="AW103" i="12"/>
  <c r="AX103" i="12"/>
  <c r="AY103" i="12"/>
  <c r="AZ103" i="12"/>
  <c r="BA103" i="12"/>
  <c r="BB103" i="12"/>
  <c r="BC103" i="12"/>
  <c r="BD103" i="12"/>
  <c r="BE103" i="12"/>
  <c r="BF103" i="12"/>
  <c r="BG103" i="12"/>
  <c r="BH103" i="12"/>
  <c r="BI103" i="12"/>
  <c r="BJ103" i="12"/>
  <c r="BK103" i="12"/>
  <c r="BL103" i="12"/>
  <c r="BM103" i="12"/>
  <c r="G106" i="12"/>
  <c r="H106" i="12"/>
  <c r="I106" i="12"/>
  <c r="J106" i="12"/>
  <c r="K106" i="12"/>
  <c r="L106" i="12"/>
  <c r="M106" i="12"/>
  <c r="N106" i="12"/>
  <c r="O106" i="12"/>
  <c r="P106" i="12"/>
  <c r="Q106" i="12"/>
  <c r="R106" i="12"/>
  <c r="G101" i="12"/>
  <c r="H101" i="12"/>
  <c r="I101" i="12"/>
  <c r="J101" i="12"/>
  <c r="K101" i="12"/>
  <c r="L101" i="12"/>
  <c r="M101" i="12"/>
  <c r="N101" i="12"/>
  <c r="O101" i="12"/>
  <c r="P101" i="12"/>
  <c r="Q101" i="12"/>
  <c r="R101" i="12"/>
  <c r="S101" i="12"/>
  <c r="T101" i="12"/>
  <c r="U101" i="12"/>
  <c r="V101" i="12"/>
  <c r="W101" i="12"/>
  <c r="X101" i="12"/>
  <c r="Y101" i="12"/>
  <c r="Z101" i="12"/>
  <c r="AA101" i="12"/>
  <c r="AB101" i="12"/>
  <c r="AC101" i="12"/>
  <c r="AD101" i="12"/>
  <c r="AE101" i="12"/>
  <c r="AF101" i="12"/>
  <c r="AG101" i="12"/>
  <c r="AH101" i="12"/>
  <c r="AI101" i="12"/>
  <c r="AJ101" i="12"/>
  <c r="AK101" i="12"/>
  <c r="AL101" i="12"/>
  <c r="AM101" i="12"/>
  <c r="AN101" i="12"/>
  <c r="AO101" i="12"/>
  <c r="AP101" i="12"/>
  <c r="AQ101" i="12"/>
  <c r="AR101" i="12"/>
  <c r="AS101" i="12"/>
  <c r="AT101" i="12"/>
  <c r="AU101" i="12"/>
  <c r="AV101" i="12"/>
  <c r="AW101" i="12"/>
  <c r="AX101" i="12"/>
  <c r="AY101" i="12"/>
  <c r="AZ101" i="12"/>
  <c r="BA101" i="12"/>
  <c r="BB101" i="12"/>
  <c r="BC101" i="12"/>
  <c r="BD101" i="12"/>
  <c r="BE101" i="12"/>
  <c r="BF101" i="12"/>
  <c r="BG101" i="12"/>
  <c r="BH101" i="12"/>
  <c r="BI101" i="12"/>
  <c r="BJ101" i="12"/>
  <c r="BK101" i="12"/>
  <c r="BL101" i="12"/>
  <c r="BM101" i="12"/>
  <c r="BO87" i="12"/>
  <c r="H84" i="12"/>
  <c r="I84" i="12"/>
  <c r="J84" i="12"/>
  <c r="K84" i="12"/>
  <c r="L84" i="12"/>
  <c r="M84" i="12"/>
  <c r="N84" i="12"/>
  <c r="O84" i="12"/>
  <c r="P84" i="12"/>
  <c r="Q84" i="12"/>
  <c r="R84" i="12"/>
  <c r="S84" i="12"/>
  <c r="T84" i="12"/>
  <c r="U84" i="12"/>
  <c r="V84" i="12"/>
  <c r="W84" i="12"/>
  <c r="X84" i="12"/>
  <c r="Y84" i="12"/>
  <c r="Z84" i="12"/>
  <c r="AA84" i="12"/>
  <c r="AB84" i="12"/>
  <c r="AC84" i="12"/>
  <c r="AD84" i="12"/>
  <c r="AE84" i="12"/>
  <c r="AF84" i="12"/>
  <c r="AG84" i="12"/>
  <c r="AH84" i="12"/>
  <c r="AI84" i="12"/>
  <c r="AJ84" i="12"/>
  <c r="AK84" i="12"/>
  <c r="AL84" i="12"/>
  <c r="AM84" i="12"/>
  <c r="AN84" i="12"/>
  <c r="AO84" i="12"/>
  <c r="AP84" i="12"/>
  <c r="AQ84" i="12"/>
  <c r="AR84" i="12"/>
  <c r="AS84" i="12"/>
  <c r="AT84" i="12"/>
  <c r="AU84" i="12"/>
  <c r="AV84" i="12"/>
  <c r="AW84" i="12"/>
  <c r="AX84" i="12"/>
  <c r="AY84" i="12"/>
  <c r="AZ84" i="12"/>
  <c r="BA84" i="12"/>
  <c r="BB84" i="12"/>
  <c r="BC84" i="12"/>
  <c r="BD84" i="12"/>
  <c r="BE84" i="12"/>
  <c r="BF84" i="12"/>
  <c r="BG84" i="12"/>
  <c r="BH84" i="12"/>
  <c r="BI84" i="12"/>
  <c r="BJ84" i="12"/>
  <c r="BK84" i="12"/>
  <c r="BL84" i="12"/>
  <c r="BM84" i="12"/>
  <c r="G84" i="12"/>
  <c r="E119" i="12"/>
  <c r="H118" i="12"/>
  <c r="I118" i="12"/>
  <c r="J118" i="12"/>
  <c r="K118" i="12"/>
  <c r="L118" i="12"/>
  <c r="M118" i="12"/>
  <c r="N118" i="12"/>
  <c r="O118" i="12"/>
  <c r="P118" i="12"/>
  <c r="Q118" i="12"/>
  <c r="R118" i="12"/>
  <c r="S118" i="12"/>
  <c r="T118" i="12"/>
  <c r="U118" i="12"/>
  <c r="V118" i="12"/>
  <c r="W118" i="12"/>
  <c r="X118" i="12"/>
  <c r="Y118" i="12"/>
  <c r="Z118" i="12"/>
  <c r="AA118" i="12"/>
  <c r="AB118" i="12"/>
  <c r="AC118" i="12"/>
  <c r="AD118" i="12"/>
  <c r="AE118" i="12"/>
  <c r="AF118" i="12"/>
  <c r="AG118" i="12"/>
  <c r="AH118" i="12"/>
  <c r="AI118" i="12"/>
  <c r="AJ118" i="12"/>
  <c r="AK118" i="12"/>
  <c r="AL118" i="12"/>
  <c r="AM118" i="12"/>
  <c r="AN118" i="12"/>
  <c r="AP118" i="12"/>
  <c r="AQ118" i="12"/>
  <c r="AR118" i="12"/>
  <c r="AS118" i="12"/>
  <c r="AT118" i="12"/>
  <c r="AU118" i="12"/>
  <c r="AV118" i="12"/>
  <c r="AW118" i="12"/>
  <c r="AX118" i="12"/>
  <c r="AY118" i="12"/>
  <c r="AZ118" i="12"/>
  <c r="BB118" i="12"/>
  <c r="BC118" i="12"/>
  <c r="BD118" i="12"/>
  <c r="BE118" i="12"/>
  <c r="BF118" i="12"/>
  <c r="BG118" i="12"/>
  <c r="BH118" i="12"/>
  <c r="BI118" i="12"/>
  <c r="BJ118" i="12"/>
  <c r="BK118" i="12"/>
  <c r="BL118" i="12"/>
  <c r="G118" i="12"/>
  <c r="AO2" i="12"/>
  <c r="E99" i="11"/>
  <c r="G99" i="11"/>
  <c r="E97" i="11"/>
  <c r="E98" i="11"/>
  <c r="BO112" i="12"/>
  <c r="G103" i="11"/>
  <c r="G94" i="11"/>
  <c r="G93" i="11"/>
  <c r="E92" i="11"/>
  <c r="G92" i="11"/>
  <c r="G91" i="11"/>
  <c r="E90" i="11"/>
  <c r="E89" i="11"/>
  <c r="G89" i="11"/>
  <c r="E88" i="11"/>
  <c r="E87" i="11"/>
  <c r="G87" i="11"/>
  <c r="F123" i="12"/>
  <c r="F35" i="12"/>
  <c r="F61" i="12"/>
  <c r="G98" i="11"/>
  <c r="BP106" i="12"/>
  <c r="BO103" i="12"/>
  <c r="BP101" i="12"/>
  <c r="BO101" i="12"/>
  <c r="S106" i="12"/>
  <c r="G61" i="12"/>
  <c r="H61" i="12"/>
  <c r="I61" i="12"/>
  <c r="J61" i="12"/>
  <c r="K61" i="12"/>
  <c r="L61" i="12"/>
  <c r="M61" i="12"/>
  <c r="N61" i="12"/>
  <c r="O61" i="12"/>
  <c r="P61" i="12"/>
  <c r="Q61" i="12"/>
  <c r="R61" i="12"/>
  <c r="S61" i="12"/>
  <c r="T61" i="12"/>
  <c r="U61" i="12"/>
  <c r="V61" i="12"/>
  <c r="W61" i="12"/>
  <c r="X61" i="12"/>
  <c r="Y61" i="12"/>
  <c r="Z61" i="12"/>
  <c r="AA61" i="12"/>
  <c r="AB61" i="12"/>
  <c r="AC61" i="12"/>
  <c r="AD61" i="12"/>
  <c r="AE61" i="12"/>
  <c r="AF61" i="12"/>
  <c r="AG61" i="12"/>
  <c r="AH61" i="12"/>
  <c r="AI61" i="12"/>
  <c r="AJ61" i="12"/>
  <c r="AK61" i="12"/>
  <c r="AL61" i="12"/>
  <c r="AM61" i="12"/>
  <c r="AN61" i="12"/>
  <c r="AO61" i="12"/>
  <c r="AP61" i="12"/>
  <c r="AQ61" i="12"/>
  <c r="AR61" i="12"/>
  <c r="AS61" i="12"/>
  <c r="AT61" i="12"/>
  <c r="AU61" i="12"/>
  <c r="AV61" i="12"/>
  <c r="AW61" i="12"/>
  <c r="AX61" i="12"/>
  <c r="AY61" i="12"/>
  <c r="AZ61" i="12"/>
  <c r="BA61" i="12"/>
  <c r="BB61" i="12"/>
  <c r="BC61" i="12"/>
  <c r="BD61" i="12"/>
  <c r="BE61" i="12"/>
  <c r="BF61" i="12"/>
  <c r="BG61" i="12"/>
  <c r="BH61" i="12"/>
  <c r="BI61" i="12"/>
  <c r="BJ61" i="12"/>
  <c r="BK61" i="12"/>
  <c r="BL61" i="12"/>
  <c r="BM61" i="12"/>
  <c r="G105" i="11"/>
  <c r="AD31" i="14"/>
  <c r="G90" i="11"/>
  <c r="G88" i="11"/>
  <c r="AO1" i="12"/>
  <c r="G97" i="11"/>
  <c r="G86" i="11"/>
  <c r="AD29" i="14"/>
  <c r="T106" i="12"/>
  <c r="BA118" i="12"/>
  <c r="AO118" i="12"/>
  <c r="G39" i="12"/>
  <c r="H39" i="12"/>
  <c r="I39" i="12"/>
  <c r="J39" i="12"/>
  <c r="K39" i="12"/>
  <c r="L39" i="12"/>
  <c r="M39" i="12"/>
  <c r="N39" i="12"/>
  <c r="O39" i="12"/>
  <c r="P39" i="12"/>
  <c r="Q39" i="12"/>
  <c r="R39" i="12"/>
  <c r="S39" i="12"/>
  <c r="T39" i="12"/>
  <c r="U39" i="12"/>
  <c r="V39" i="12"/>
  <c r="W39" i="12"/>
  <c r="X39" i="12"/>
  <c r="Y39" i="12"/>
  <c r="Z39" i="12"/>
  <c r="AA39" i="12"/>
  <c r="AB39" i="12"/>
  <c r="AC39" i="12"/>
  <c r="AD39" i="12"/>
  <c r="AE39" i="12"/>
  <c r="AF39" i="12"/>
  <c r="AG39" i="12"/>
  <c r="AH39" i="12"/>
  <c r="AI39" i="12"/>
  <c r="AJ39" i="12"/>
  <c r="AK39" i="12"/>
  <c r="AL39" i="12"/>
  <c r="AM39" i="12"/>
  <c r="AN39" i="12"/>
  <c r="AO39" i="12"/>
  <c r="AP39" i="12"/>
  <c r="AQ39" i="12"/>
  <c r="AR39" i="12"/>
  <c r="AS39" i="12"/>
  <c r="AT39" i="12"/>
  <c r="AU39" i="12"/>
  <c r="AV39" i="12"/>
  <c r="AW39" i="12"/>
  <c r="AX39" i="12"/>
  <c r="AY39" i="12"/>
  <c r="AZ39" i="12"/>
  <c r="BA39" i="12"/>
  <c r="BB39" i="12"/>
  <c r="BC39" i="12"/>
  <c r="BD39" i="12"/>
  <c r="BE39" i="12"/>
  <c r="BF39" i="12"/>
  <c r="BG39" i="12"/>
  <c r="BH39" i="12"/>
  <c r="BI39" i="12"/>
  <c r="BJ39" i="12"/>
  <c r="BK39" i="12"/>
  <c r="BL39" i="12"/>
  <c r="BM39" i="12"/>
  <c r="F39" i="12"/>
  <c r="BM118" i="12"/>
  <c r="G56" i="12"/>
  <c r="H56" i="12"/>
  <c r="U106" i="12"/>
  <c r="F82" i="12"/>
  <c r="V106" i="12"/>
  <c r="W106" i="12"/>
  <c r="X106" i="12"/>
  <c r="Y106" i="12"/>
  <c r="Z106" i="12"/>
  <c r="AA106" i="12"/>
  <c r="AB106" i="12"/>
  <c r="AC106" i="12"/>
  <c r="AD106" i="12"/>
  <c r="I56" i="12"/>
  <c r="F135" i="12"/>
  <c r="BQ106" i="12"/>
  <c r="AE106" i="12"/>
  <c r="J56" i="12"/>
  <c r="K56" i="12"/>
  <c r="AF106" i="12"/>
  <c r="L56" i="12"/>
  <c r="G72" i="12"/>
  <c r="H72" i="12"/>
  <c r="I72" i="12"/>
  <c r="J72" i="12"/>
  <c r="K72" i="12"/>
  <c r="L72" i="12"/>
  <c r="M72" i="12"/>
  <c r="N72" i="12"/>
  <c r="O72" i="12"/>
  <c r="P72" i="12"/>
  <c r="Q72" i="12"/>
  <c r="R72" i="12"/>
  <c r="S72" i="12"/>
  <c r="T72" i="12"/>
  <c r="U72" i="12"/>
  <c r="V72" i="12"/>
  <c r="W72" i="12"/>
  <c r="X72" i="12"/>
  <c r="Y72" i="12"/>
  <c r="Z72" i="12"/>
  <c r="AA72" i="12"/>
  <c r="AB72" i="12"/>
  <c r="AC72" i="12"/>
  <c r="AD72" i="12"/>
  <c r="AE72" i="12"/>
  <c r="AF72" i="12"/>
  <c r="AG72" i="12"/>
  <c r="AH72" i="12"/>
  <c r="AI72" i="12"/>
  <c r="AJ72" i="12"/>
  <c r="AK72" i="12"/>
  <c r="AL72" i="12"/>
  <c r="AM72" i="12"/>
  <c r="AN72" i="12"/>
  <c r="AO72" i="12"/>
  <c r="AP72" i="12"/>
  <c r="AQ72" i="12"/>
  <c r="AR72" i="12"/>
  <c r="AS72" i="12"/>
  <c r="AT72" i="12"/>
  <c r="AU72" i="12"/>
  <c r="AV72" i="12"/>
  <c r="AW72" i="12"/>
  <c r="AX72" i="12"/>
  <c r="AY72" i="12"/>
  <c r="AZ72" i="12"/>
  <c r="BA72" i="12"/>
  <c r="BB72" i="12"/>
  <c r="BC72" i="12"/>
  <c r="BD72" i="12"/>
  <c r="BE72" i="12"/>
  <c r="BF72" i="12"/>
  <c r="BG72" i="12"/>
  <c r="BH72" i="12"/>
  <c r="BI72" i="12"/>
  <c r="BJ72" i="12"/>
  <c r="BK72" i="12"/>
  <c r="BL72" i="12"/>
  <c r="BM72" i="12"/>
  <c r="F72" i="12"/>
  <c r="BO59" i="12"/>
  <c r="BO61" i="12"/>
  <c r="BO62" i="12"/>
  <c r="BO66" i="12"/>
  <c r="BO71" i="12"/>
  <c r="BO73" i="12"/>
  <c r="BO76" i="12"/>
  <c r="BO77" i="12"/>
  <c r="BO81" i="12"/>
  <c r="BO84" i="12"/>
  <c r="BO85" i="12"/>
  <c r="BO88" i="12"/>
  <c r="BO92" i="12"/>
  <c r="G90" i="12"/>
  <c r="G91" i="12"/>
  <c r="H90" i="12"/>
  <c r="H91" i="12"/>
  <c r="I90" i="12"/>
  <c r="I91" i="12"/>
  <c r="J90" i="12"/>
  <c r="J91" i="12"/>
  <c r="K90" i="12"/>
  <c r="K91" i="12"/>
  <c r="L90" i="12"/>
  <c r="L91" i="12"/>
  <c r="M90" i="12"/>
  <c r="M91" i="12"/>
  <c r="N90" i="12"/>
  <c r="N91" i="12"/>
  <c r="O90" i="12"/>
  <c r="O91" i="12"/>
  <c r="P90" i="12"/>
  <c r="P91" i="12"/>
  <c r="Q90" i="12"/>
  <c r="Q91" i="12"/>
  <c r="R90" i="12"/>
  <c r="R91" i="12"/>
  <c r="S90" i="12"/>
  <c r="S91" i="12"/>
  <c r="T90" i="12"/>
  <c r="T91" i="12"/>
  <c r="U90" i="12"/>
  <c r="U91" i="12"/>
  <c r="V90" i="12"/>
  <c r="V91" i="12"/>
  <c r="W90" i="12"/>
  <c r="W91" i="12"/>
  <c r="X90" i="12"/>
  <c r="X91" i="12"/>
  <c r="Y90" i="12"/>
  <c r="Y91" i="12"/>
  <c r="Z90" i="12"/>
  <c r="Z91" i="12"/>
  <c r="AA90" i="12"/>
  <c r="AA91" i="12"/>
  <c r="AB90" i="12"/>
  <c r="AB91" i="12"/>
  <c r="AC90" i="12"/>
  <c r="AC91" i="12"/>
  <c r="AD90" i="12"/>
  <c r="AD91" i="12"/>
  <c r="AE90" i="12"/>
  <c r="AE91" i="12"/>
  <c r="AF90" i="12"/>
  <c r="AF91" i="12"/>
  <c r="AG90" i="12"/>
  <c r="AG91" i="12"/>
  <c r="AH90" i="12"/>
  <c r="AH91" i="12"/>
  <c r="AI90" i="12"/>
  <c r="AI91" i="12"/>
  <c r="AJ90" i="12"/>
  <c r="AJ91" i="12"/>
  <c r="AK90" i="12"/>
  <c r="AK91" i="12"/>
  <c r="AL90" i="12"/>
  <c r="AL91" i="12"/>
  <c r="AM90" i="12"/>
  <c r="AM91" i="12"/>
  <c r="AN90" i="12"/>
  <c r="AN91" i="12"/>
  <c r="AO90" i="12"/>
  <c r="AO91" i="12"/>
  <c r="AP90" i="12"/>
  <c r="AP91" i="12"/>
  <c r="AQ90" i="12"/>
  <c r="AQ91" i="12"/>
  <c r="AR90" i="12"/>
  <c r="AR91" i="12"/>
  <c r="AS90" i="12"/>
  <c r="AS91" i="12"/>
  <c r="AT90" i="12"/>
  <c r="AT91" i="12"/>
  <c r="AU90" i="12"/>
  <c r="AU91" i="12"/>
  <c r="AV90" i="12"/>
  <c r="AV91" i="12"/>
  <c r="AW90" i="12"/>
  <c r="AW91" i="12"/>
  <c r="AX90" i="12"/>
  <c r="AX91" i="12"/>
  <c r="AY90" i="12"/>
  <c r="AY91" i="12"/>
  <c r="AZ90" i="12"/>
  <c r="AZ91" i="12"/>
  <c r="BA90" i="12"/>
  <c r="BA91" i="12"/>
  <c r="BB90" i="12"/>
  <c r="BB91" i="12"/>
  <c r="BC90" i="12"/>
  <c r="BC91" i="12"/>
  <c r="BD90" i="12"/>
  <c r="BD91" i="12"/>
  <c r="BE90" i="12"/>
  <c r="BE91" i="12"/>
  <c r="BF90" i="12"/>
  <c r="BF91" i="12"/>
  <c r="BG90" i="12"/>
  <c r="BG91" i="12"/>
  <c r="BH90" i="12"/>
  <c r="BH91" i="12"/>
  <c r="BI90" i="12"/>
  <c r="BI91" i="12"/>
  <c r="BJ90" i="12"/>
  <c r="BJ91" i="12"/>
  <c r="BK90" i="12"/>
  <c r="BK91" i="12"/>
  <c r="BL90" i="12"/>
  <c r="BL91" i="12"/>
  <c r="BM90" i="12"/>
  <c r="BM91" i="12"/>
  <c r="G83" i="12"/>
  <c r="H83" i="12"/>
  <c r="I83" i="12"/>
  <c r="J83" i="12"/>
  <c r="K83" i="12"/>
  <c r="L83" i="12"/>
  <c r="M83" i="12"/>
  <c r="N83" i="12"/>
  <c r="O83" i="12"/>
  <c r="P83" i="12"/>
  <c r="Q83" i="12"/>
  <c r="R83" i="12"/>
  <c r="S83" i="12"/>
  <c r="T83" i="12"/>
  <c r="U83" i="12"/>
  <c r="V83" i="12"/>
  <c r="W83" i="12"/>
  <c r="X83" i="12"/>
  <c r="Y83" i="12"/>
  <c r="Z83" i="12"/>
  <c r="AA83" i="12"/>
  <c r="AB83" i="12"/>
  <c r="AC83" i="12"/>
  <c r="AD83" i="12"/>
  <c r="AE83" i="12"/>
  <c r="AF83" i="12"/>
  <c r="AG83" i="12"/>
  <c r="AH83" i="12"/>
  <c r="AI83" i="12"/>
  <c r="AJ83" i="12"/>
  <c r="AK83" i="12"/>
  <c r="AL83" i="12"/>
  <c r="AM83" i="12"/>
  <c r="AN83" i="12"/>
  <c r="AO83" i="12"/>
  <c r="AP83" i="12"/>
  <c r="AQ83" i="12"/>
  <c r="AR83" i="12"/>
  <c r="AS83" i="12"/>
  <c r="AT83" i="12"/>
  <c r="AU83" i="12"/>
  <c r="AV83" i="12"/>
  <c r="AW83" i="12"/>
  <c r="AX83" i="12"/>
  <c r="AY83" i="12"/>
  <c r="AZ83" i="12"/>
  <c r="BA83" i="12"/>
  <c r="BB83" i="12"/>
  <c r="BC83" i="12"/>
  <c r="BD83" i="12"/>
  <c r="BE83" i="12"/>
  <c r="BF83" i="12"/>
  <c r="BG83" i="12"/>
  <c r="BH83" i="12"/>
  <c r="BI83" i="12"/>
  <c r="BJ83" i="12"/>
  <c r="BK83" i="12"/>
  <c r="BL83" i="12"/>
  <c r="BM83" i="12"/>
  <c r="F83" i="12"/>
  <c r="BP105" i="12"/>
  <c r="D23" i="14"/>
  <c r="AG106" i="12"/>
  <c r="BO91" i="12"/>
  <c r="M56" i="12"/>
  <c r="BR72" i="12"/>
  <c r="F18" i="14"/>
  <c r="BO83" i="12"/>
  <c r="BO90" i="12"/>
  <c r="BT72" i="12"/>
  <c r="H18" i="14"/>
  <c r="BS72" i="12"/>
  <c r="G18" i="14"/>
  <c r="BQ72" i="12"/>
  <c r="E18" i="14"/>
  <c r="BO72" i="12"/>
  <c r="BP72" i="12"/>
  <c r="G79" i="12"/>
  <c r="H79" i="12"/>
  <c r="I79" i="12"/>
  <c r="J79" i="12"/>
  <c r="K79" i="12"/>
  <c r="L79" i="12"/>
  <c r="M79" i="12"/>
  <c r="N79" i="12"/>
  <c r="O79" i="12"/>
  <c r="P79" i="12"/>
  <c r="Q79" i="12"/>
  <c r="R79" i="12"/>
  <c r="S79" i="12"/>
  <c r="T79" i="12"/>
  <c r="U79" i="12"/>
  <c r="V79" i="12"/>
  <c r="W79" i="12"/>
  <c r="X79" i="12"/>
  <c r="Y79" i="12"/>
  <c r="Z79" i="12"/>
  <c r="AA79" i="12"/>
  <c r="AB79" i="12"/>
  <c r="AC79" i="12"/>
  <c r="AD79" i="12"/>
  <c r="AE79" i="12"/>
  <c r="AF79" i="12"/>
  <c r="AG79" i="12"/>
  <c r="AH79" i="12"/>
  <c r="AI79" i="12"/>
  <c r="AJ79" i="12"/>
  <c r="AK79" i="12"/>
  <c r="AL79" i="12"/>
  <c r="AM79" i="12"/>
  <c r="AN79" i="12"/>
  <c r="AO79" i="12"/>
  <c r="AP79" i="12"/>
  <c r="AQ79" i="12"/>
  <c r="AR79" i="12"/>
  <c r="AS79" i="12"/>
  <c r="AT79" i="12"/>
  <c r="AU79" i="12"/>
  <c r="AV79" i="12"/>
  <c r="AW79" i="12"/>
  <c r="AX79" i="12"/>
  <c r="AY79" i="12"/>
  <c r="AZ79" i="12"/>
  <c r="BA79" i="12"/>
  <c r="BB79" i="12"/>
  <c r="BC79" i="12"/>
  <c r="BD79" i="12"/>
  <c r="BE79" i="12"/>
  <c r="BF79" i="12"/>
  <c r="BG79" i="12"/>
  <c r="BH79" i="12"/>
  <c r="BI79" i="12"/>
  <c r="BJ79" i="12"/>
  <c r="BK79" i="12"/>
  <c r="BL79" i="12"/>
  <c r="BM79" i="12"/>
  <c r="F79" i="12"/>
  <c r="J75" i="12"/>
  <c r="K75" i="12"/>
  <c r="L75" i="12"/>
  <c r="M75" i="12"/>
  <c r="N75" i="12"/>
  <c r="O75" i="12"/>
  <c r="P75" i="12"/>
  <c r="Q75" i="12"/>
  <c r="R75" i="12"/>
  <c r="S75" i="12"/>
  <c r="T75" i="12"/>
  <c r="U75" i="12"/>
  <c r="V75" i="12"/>
  <c r="W75" i="12"/>
  <c r="X75" i="12"/>
  <c r="Y75" i="12"/>
  <c r="Z75" i="12"/>
  <c r="AA75" i="12"/>
  <c r="AB75" i="12"/>
  <c r="AC75" i="12"/>
  <c r="AD75" i="12"/>
  <c r="AE75" i="12"/>
  <c r="AF75" i="12"/>
  <c r="AG75" i="12"/>
  <c r="AH75" i="12"/>
  <c r="AI75" i="12"/>
  <c r="AJ75" i="12"/>
  <c r="AK75" i="12"/>
  <c r="AL75" i="12"/>
  <c r="AM75" i="12"/>
  <c r="AN75" i="12"/>
  <c r="AO75" i="12"/>
  <c r="AP75" i="12"/>
  <c r="AQ75" i="12"/>
  <c r="AR75" i="12"/>
  <c r="AS75" i="12"/>
  <c r="AT75" i="12"/>
  <c r="AU75" i="12"/>
  <c r="AV75" i="12"/>
  <c r="AW75" i="12"/>
  <c r="AX75" i="12"/>
  <c r="AY75" i="12"/>
  <c r="AZ75" i="12"/>
  <c r="BA75" i="12"/>
  <c r="BB75" i="12"/>
  <c r="BC75" i="12"/>
  <c r="BD75" i="12"/>
  <c r="BE75" i="12"/>
  <c r="BF75" i="12"/>
  <c r="BG75" i="12"/>
  <c r="BH75" i="12"/>
  <c r="BI75" i="12"/>
  <c r="BJ75" i="12"/>
  <c r="BK75" i="12"/>
  <c r="BL75" i="12"/>
  <c r="BM75" i="12"/>
  <c r="G68" i="12"/>
  <c r="G80" i="12"/>
  <c r="H68" i="12"/>
  <c r="H80" i="12"/>
  <c r="I68" i="12"/>
  <c r="I80" i="12"/>
  <c r="J68" i="12"/>
  <c r="J80" i="12"/>
  <c r="K68" i="12"/>
  <c r="K80" i="12"/>
  <c r="L68" i="12"/>
  <c r="L80" i="12"/>
  <c r="M68" i="12"/>
  <c r="M80" i="12"/>
  <c r="N68" i="12"/>
  <c r="N80" i="12"/>
  <c r="O68" i="12"/>
  <c r="O80" i="12"/>
  <c r="P68" i="12"/>
  <c r="P80" i="12"/>
  <c r="Q68" i="12"/>
  <c r="Q80" i="12"/>
  <c r="R68" i="12"/>
  <c r="R80" i="12"/>
  <c r="S68" i="12"/>
  <c r="S80" i="12"/>
  <c r="T68" i="12"/>
  <c r="T80" i="12"/>
  <c r="U68" i="12"/>
  <c r="U80" i="12"/>
  <c r="V68" i="12"/>
  <c r="V80" i="12"/>
  <c r="W68" i="12"/>
  <c r="W80" i="12"/>
  <c r="X68" i="12"/>
  <c r="X80" i="12"/>
  <c r="Y68" i="12"/>
  <c r="Y80" i="12"/>
  <c r="Z68" i="12"/>
  <c r="Z80" i="12"/>
  <c r="AA68" i="12"/>
  <c r="AA80" i="12"/>
  <c r="AB68" i="12"/>
  <c r="AB80" i="12"/>
  <c r="AC68" i="12"/>
  <c r="AC80" i="12"/>
  <c r="AD68" i="12"/>
  <c r="AD80" i="12"/>
  <c r="AE68" i="12"/>
  <c r="AE80" i="12"/>
  <c r="AF68" i="12"/>
  <c r="AF80" i="12"/>
  <c r="AG68" i="12"/>
  <c r="AG80" i="12"/>
  <c r="AH68" i="12"/>
  <c r="AH80" i="12"/>
  <c r="AI68" i="12"/>
  <c r="AI80" i="12"/>
  <c r="AJ68" i="12"/>
  <c r="AJ80" i="12"/>
  <c r="AK68" i="12"/>
  <c r="AK80" i="12"/>
  <c r="AL68" i="12"/>
  <c r="AL80" i="12"/>
  <c r="AM68" i="12"/>
  <c r="AM80" i="12"/>
  <c r="AN68" i="12"/>
  <c r="AN80" i="12"/>
  <c r="AO68" i="12"/>
  <c r="AO80" i="12"/>
  <c r="AP68" i="12"/>
  <c r="AP80" i="12"/>
  <c r="AQ68" i="12"/>
  <c r="AQ80" i="12"/>
  <c r="AR68" i="12"/>
  <c r="AR80" i="12"/>
  <c r="AS68" i="12"/>
  <c r="AS80" i="12"/>
  <c r="AT68" i="12"/>
  <c r="AT80" i="12"/>
  <c r="AU68" i="12"/>
  <c r="AU80" i="12"/>
  <c r="AV68" i="12"/>
  <c r="AV80" i="12"/>
  <c r="AW68" i="12"/>
  <c r="AW80" i="12"/>
  <c r="AX68" i="12"/>
  <c r="AX80" i="12"/>
  <c r="AY68" i="12"/>
  <c r="AY80" i="12"/>
  <c r="AZ68" i="12"/>
  <c r="AZ80" i="12"/>
  <c r="BA68" i="12"/>
  <c r="BA80" i="12"/>
  <c r="BB68" i="12"/>
  <c r="BB80" i="12"/>
  <c r="BC68" i="12"/>
  <c r="BC80" i="12"/>
  <c r="BD68" i="12"/>
  <c r="BD80" i="12"/>
  <c r="BE68" i="12"/>
  <c r="BE80" i="12"/>
  <c r="BF68" i="12"/>
  <c r="BF80" i="12"/>
  <c r="BG68" i="12"/>
  <c r="BG80" i="12"/>
  <c r="BH68" i="12"/>
  <c r="BH80" i="12"/>
  <c r="BI68" i="12"/>
  <c r="BI80" i="12"/>
  <c r="BJ68" i="12"/>
  <c r="BJ80" i="12"/>
  <c r="BK68" i="12"/>
  <c r="BK80" i="12"/>
  <c r="BL68" i="12"/>
  <c r="BL80" i="12"/>
  <c r="BM68" i="12"/>
  <c r="BM80" i="12"/>
  <c r="F68" i="12"/>
  <c r="F80" i="12"/>
  <c r="G67" i="12"/>
  <c r="H67" i="12"/>
  <c r="I67" i="12"/>
  <c r="J67" i="12"/>
  <c r="K67" i="12"/>
  <c r="L67" i="12"/>
  <c r="M67" i="12"/>
  <c r="N67" i="12"/>
  <c r="O67" i="12"/>
  <c r="P67" i="12"/>
  <c r="Q67" i="12"/>
  <c r="R67" i="12"/>
  <c r="S67" i="12"/>
  <c r="T67" i="12"/>
  <c r="U67" i="12"/>
  <c r="V67" i="12"/>
  <c r="W67" i="12"/>
  <c r="X67" i="12"/>
  <c r="Y67" i="12"/>
  <c r="Z67" i="12"/>
  <c r="AA67" i="12"/>
  <c r="AB67" i="12"/>
  <c r="AC67" i="12"/>
  <c r="AD67" i="12"/>
  <c r="AE67" i="12"/>
  <c r="AF67" i="12"/>
  <c r="AG67" i="12"/>
  <c r="AH67" i="12"/>
  <c r="AI67" i="12"/>
  <c r="AJ67" i="12"/>
  <c r="AK67" i="12"/>
  <c r="AL67" i="12"/>
  <c r="AM67" i="12"/>
  <c r="AN67" i="12"/>
  <c r="AO67" i="12"/>
  <c r="AP67" i="12"/>
  <c r="AQ67" i="12"/>
  <c r="AR67" i="12"/>
  <c r="AS67" i="12"/>
  <c r="AT67" i="12"/>
  <c r="AU67" i="12"/>
  <c r="AV67" i="12"/>
  <c r="AW67" i="12"/>
  <c r="AX67" i="12"/>
  <c r="AY67" i="12"/>
  <c r="AZ67" i="12"/>
  <c r="BA67" i="12"/>
  <c r="BB67" i="12"/>
  <c r="BC67" i="12"/>
  <c r="BD67" i="12"/>
  <c r="BE67" i="12"/>
  <c r="BF67" i="12"/>
  <c r="BG67" i="12"/>
  <c r="BH67" i="12"/>
  <c r="BI67" i="12"/>
  <c r="BJ67" i="12"/>
  <c r="BK67" i="12"/>
  <c r="BL67" i="12"/>
  <c r="BM67" i="12"/>
  <c r="F67" i="12"/>
  <c r="G46" i="12"/>
  <c r="H46" i="12"/>
  <c r="I46" i="12"/>
  <c r="J46" i="12"/>
  <c r="K46" i="12"/>
  <c r="L46" i="12"/>
  <c r="M46" i="12"/>
  <c r="N46" i="12"/>
  <c r="O46" i="12"/>
  <c r="P46" i="12"/>
  <c r="Q46" i="12"/>
  <c r="R46" i="12"/>
  <c r="S46" i="12"/>
  <c r="T46" i="12"/>
  <c r="U46" i="12"/>
  <c r="V46" i="12"/>
  <c r="W46" i="12"/>
  <c r="X46" i="12"/>
  <c r="Y46" i="12"/>
  <c r="Z46" i="12"/>
  <c r="AA46" i="12"/>
  <c r="AB46" i="12"/>
  <c r="AC46" i="12"/>
  <c r="AD46" i="12"/>
  <c r="AE46" i="12"/>
  <c r="AF46" i="12"/>
  <c r="AG46" i="12"/>
  <c r="AH46" i="12"/>
  <c r="AI46" i="12"/>
  <c r="AJ46" i="12"/>
  <c r="AK46" i="12"/>
  <c r="AL46" i="12"/>
  <c r="AM46" i="12"/>
  <c r="AN46" i="12"/>
  <c r="AO46" i="12"/>
  <c r="AP46" i="12"/>
  <c r="AQ46" i="12"/>
  <c r="AR46" i="12"/>
  <c r="AS46" i="12"/>
  <c r="AT46" i="12"/>
  <c r="AU46" i="12"/>
  <c r="AV46" i="12"/>
  <c r="AW46" i="12"/>
  <c r="AX46" i="12"/>
  <c r="AY46" i="12"/>
  <c r="AZ46" i="12"/>
  <c r="BA46" i="12"/>
  <c r="BB46" i="12"/>
  <c r="BC46" i="12"/>
  <c r="BD46" i="12"/>
  <c r="BE46" i="12"/>
  <c r="BF46" i="12"/>
  <c r="BG46" i="12"/>
  <c r="BH46" i="12"/>
  <c r="BI46" i="12"/>
  <c r="BJ46" i="12"/>
  <c r="BK46" i="12"/>
  <c r="BL46" i="12"/>
  <c r="BM46" i="12"/>
  <c r="F46" i="12"/>
  <c r="G50" i="12"/>
  <c r="H50" i="12"/>
  <c r="I50" i="12"/>
  <c r="J50" i="12"/>
  <c r="K50" i="12"/>
  <c r="L50" i="12"/>
  <c r="M50" i="12"/>
  <c r="N50" i="12"/>
  <c r="O50" i="12"/>
  <c r="P50" i="12"/>
  <c r="Q50" i="12"/>
  <c r="R50" i="12"/>
  <c r="S50" i="12"/>
  <c r="T50" i="12"/>
  <c r="U50" i="12"/>
  <c r="V50" i="12"/>
  <c r="W50" i="12"/>
  <c r="X50" i="12"/>
  <c r="Y50" i="12"/>
  <c r="Z50" i="12"/>
  <c r="AA50" i="12"/>
  <c r="AB50" i="12"/>
  <c r="AC50" i="12"/>
  <c r="AD50" i="12"/>
  <c r="AE50" i="12"/>
  <c r="AF50" i="12"/>
  <c r="AG50" i="12"/>
  <c r="AH50" i="12"/>
  <c r="AI50" i="12"/>
  <c r="AJ50" i="12"/>
  <c r="AK50" i="12"/>
  <c r="AL50" i="12"/>
  <c r="AM50" i="12"/>
  <c r="AN50" i="12"/>
  <c r="AO50" i="12"/>
  <c r="AP50" i="12"/>
  <c r="AQ50" i="12"/>
  <c r="AR50" i="12"/>
  <c r="AS50" i="12"/>
  <c r="AT50" i="12"/>
  <c r="AU50" i="12"/>
  <c r="AV50" i="12"/>
  <c r="AW50" i="12"/>
  <c r="AX50" i="12"/>
  <c r="AY50" i="12"/>
  <c r="AZ50" i="12"/>
  <c r="BA50" i="12"/>
  <c r="BB50" i="12"/>
  <c r="BC50" i="12"/>
  <c r="BD50" i="12"/>
  <c r="BE50" i="12"/>
  <c r="BF50" i="12"/>
  <c r="BG50" i="12"/>
  <c r="BH50" i="12"/>
  <c r="BI50" i="12"/>
  <c r="BJ50" i="12"/>
  <c r="BK50" i="12"/>
  <c r="BL50" i="12"/>
  <c r="BM50" i="12"/>
  <c r="F50" i="12"/>
  <c r="F49" i="12"/>
  <c r="G35" i="12"/>
  <c r="H35" i="12"/>
  <c r="I35" i="12"/>
  <c r="J35" i="12"/>
  <c r="K35" i="12"/>
  <c r="L35" i="12"/>
  <c r="M35" i="12"/>
  <c r="N35" i="12"/>
  <c r="O35" i="12"/>
  <c r="P35" i="12"/>
  <c r="Q35" i="12"/>
  <c r="R35" i="12"/>
  <c r="S35" i="12"/>
  <c r="T35" i="12"/>
  <c r="U35" i="12"/>
  <c r="V35" i="12"/>
  <c r="W35" i="12"/>
  <c r="X35" i="12"/>
  <c r="Y35" i="12"/>
  <c r="Z35" i="12"/>
  <c r="AA35" i="12"/>
  <c r="AB35" i="12"/>
  <c r="AC35" i="12"/>
  <c r="AD35" i="12"/>
  <c r="AE35" i="12"/>
  <c r="AF35" i="12"/>
  <c r="AG35" i="12"/>
  <c r="AH35" i="12"/>
  <c r="AI35" i="12"/>
  <c r="AJ35" i="12"/>
  <c r="AK35" i="12"/>
  <c r="AL35" i="12"/>
  <c r="AM35" i="12"/>
  <c r="AN35" i="12"/>
  <c r="AO35" i="12"/>
  <c r="AP35" i="12"/>
  <c r="AQ35" i="12"/>
  <c r="AR35" i="12"/>
  <c r="AS35" i="12"/>
  <c r="AT35" i="12"/>
  <c r="AU35" i="12"/>
  <c r="AV35" i="12"/>
  <c r="AW35" i="12"/>
  <c r="AX35" i="12"/>
  <c r="AY35" i="12"/>
  <c r="AZ35" i="12"/>
  <c r="BA35" i="12"/>
  <c r="BB35" i="12"/>
  <c r="BC35" i="12"/>
  <c r="BD35" i="12"/>
  <c r="BE35" i="12"/>
  <c r="BF35" i="12"/>
  <c r="BG35" i="12"/>
  <c r="BH35" i="12"/>
  <c r="BI35" i="12"/>
  <c r="BJ35" i="12"/>
  <c r="BK35" i="12"/>
  <c r="BL35" i="12"/>
  <c r="BM35" i="12"/>
  <c r="G25" i="12"/>
  <c r="H25" i="12"/>
  <c r="I25" i="12"/>
  <c r="J25" i="12"/>
  <c r="K25" i="12"/>
  <c r="L25" i="12"/>
  <c r="M25" i="12"/>
  <c r="N25" i="12"/>
  <c r="O25" i="12"/>
  <c r="P25" i="12"/>
  <c r="Q25" i="12"/>
  <c r="R25" i="12"/>
  <c r="S25" i="12"/>
  <c r="T25" i="12"/>
  <c r="U25" i="12"/>
  <c r="V25" i="12"/>
  <c r="W25" i="12"/>
  <c r="X25" i="12"/>
  <c r="Y25" i="12"/>
  <c r="Z25" i="12"/>
  <c r="AA25" i="12"/>
  <c r="AB25" i="12"/>
  <c r="AC25" i="12"/>
  <c r="AD25" i="12"/>
  <c r="AE25" i="12"/>
  <c r="AF25" i="12"/>
  <c r="AG25" i="12"/>
  <c r="AH25" i="12"/>
  <c r="AI25" i="12"/>
  <c r="AJ25" i="12"/>
  <c r="AK25" i="12"/>
  <c r="AL25" i="12"/>
  <c r="AM25" i="12"/>
  <c r="AN25" i="12"/>
  <c r="AO25" i="12"/>
  <c r="AP25" i="12"/>
  <c r="AQ25" i="12"/>
  <c r="AR25" i="12"/>
  <c r="AS25" i="12"/>
  <c r="AT25" i="12"/>
  <c r="AU25" i="12"/>
  <c r="AV25" i="12"/>
  <c r="AW25" i="12"/>
  <c r="AX25" i="12"/>
  <c r="AY25" i="12"/>
  <c r="AZ25" i="12"/>
  <c r="BA25" i="12"/>
  <c r="BB25" i="12"/>
  <c r="BC25" i="12"/>
  <c r="BD25" i="12"/>
  <c r="BE25" i="12"/>
  <c r="BF25" i="12"/>
  <c r="BG25" i="12"/>
  <c r="BH25" i="12"/>
  <c r="BI25" i="12"/>
  <c r="BJ25" i="12"/>
  <c r="BK25" i="12"/>
  <c r="BL25" i="12"/>
  <c r="BM25" i="12"/>
  <c r="F25" i="12"/>
  <c r="BC24" i="12"/>
  <c r="BD24" i="12"/>
  <c r="BE24" i="12"/>
  <c r="BF24" i="12"/>
  <c r="BG24" i="12"/>
  <c r="BH24" i="12"/>
  <c r="BI24" i="12"/>
  <c r="BJ24" i="12"/>
  <c r="BK24" i="12"/>
  <c r="BL24" i="12"/>
  <c r="BM24" i="12"/>
  <c r="BB24" i="12"/>
  <c r="AQ24" i="12"/>
  <c r="AR24" i="12"/>
  <c r="AS24" i="12"/>
  <c r="AT24" i="12"/>
  <c r="AU24" i="12"/>
  <c r="AV24" i="12"/>
  <c r="AW24" i="12"/>
  <c r="AX24" i="12"/>
  <c r="AY24" i="12"/>
  <c r="AZ24" i="12"/>
  <c r="BA24" i="12"/>
  <c r="AP24" i="12"/>
  <c r="AE24" i="12"/>
  <c r="AF24" i="12"/>
  <c r="AG24" i="12"/>
  <c r="AH24" i="12"/>
  <c r="AI24" i="12"/>
  <c r="AJ24" i="12"/>
  <c r="AK24" i="12"/>
  <c r="AL24" i="12"/>
  <c r="AM24" i="12"/>
  <c r="AN24" i="12"/>
  <c r="AO24" i="12"/>
  <c r="AD24" i="12"/>
  <c r="S24" i="12"/>
  <c r="T24" i="12"/>
  <c r="U24" i="12"/>
  <c r="V24" i="12"/>
  <c r="W24" i="12"/>
  <c r="X24" i="12"/>
  <c r="Y24" i="12"/>
  <c r="Z24" i="12"/>
  <c r="AA24" i="12"/>
  <c r="AB24" i="12"/>
  <c r="AC24" i="12"/>
  <c r="R24" i="12"/>
  <c r="I24" i="12"/>
  <c r="H24" i="12"/>
  <c r="G24" i="12"/>
  <c r="F24" i="12"/>
  <c r="J24" i="12"/>
  <c r="K24" i="12"/>
  <c r="L24" i="12"/>
  <c r="M24" i="12"/>
  <c r="N24" i="12"/>
  <c r="O24" i="12"/>
  <c r="P24" i="12"/>
  <c r="Q24" i="12"/>
  <c r="BM28" i="12"/>
  <c r="BM29" i="12"/>
  <c r="BL28" i="12"/>
  <c r="BL29" i="12"/>
  <c r="BK28" i="12"/>
  <c r="BK29" i="12"/>
  <c r="BJ28" i="12"/>
  <c r="BJ29" i="12"/>
  <c r="BI28" i="12"/>
  <c r="BI29" i="12"/>
  <c r="BH28" i="12"/>
  <c r="BH29" i="12"/>
  <c r="BG28" i="12"/>
  <c r="BG29" i="12"/>
  <c r="BF28" i="12"/>
  <c r="BF29" i="12"/>
  <c r="BE28" i="12"/>
  <c r="BE29" i="12"/>
  <c r="BD28" i="12"/>
  <c r="BD29" i="12"/>
  <c r="BC28" i="12"/>
  <c r="BC29" i="12"/>
  <c r="BB28" i="12"/>
  <c r="BB29" i="12"/>
  <c r="BA28" i="12"/>
  <c r="BA29" i="12"/>
  <c r="AZ28" i="12"/>
  <c r="AZ29" i="12"/>
  <c r="AY28" i="12"/>
  <c r="AY29" i="12"/>
  <c r="AX28" i="12"/>
  <c r="AX29" i="12"/>
  <c r="AW28" i="12"/>
  <c r="AW29" i="12"/>
  <c r="AV28" i="12"/>
  <c r="AV29" i="12"/>
  <c r="AU28" i="12"/>
  <c r="AU29" i="12"/>
  <c r="AT28" i="12"/>
  <c r="AT29" i="12"/>
  <c r="AS28" i="12"/>
  <c r="AS29" i="12"/>
  <c r="AR28" i="12"/>
  <c r="AR29" i="12"/>
  <c r="AQ28" i="12"/>
  <c r="AQ29" i="12"/>
  <c r="AP28" i="12"/>
  <c r="AP29" i="12"/>
  <c r="AO28" i="12"/>
  <c r="AO29" i="12"/>
  <c r="AN28" i="12"/>
  <c r="AN29" i="12"/>
  <c r="AM28" i="12"/>
  <c r="AM29" i="12"/>
  <c r="AL28" i="12"/>
  <c r="AL29" i="12"/>
  <c r="AK28" i="12"/>
  <c r="AK29" i="12"/>
  <c r="AJ28" i="12"/>
  <c r="AJ29" i="12"/>
  <c r="AI28" i="12"/>
  <c r="AI29" i="12"/>
  <c r="AH28" i="12"/>
  <c r="AH29" i="12"/>
  <c r="AG28" i="12"/>
  <c r="AG29" i="12"/>
  <c r="AF28" i="12"/>
  <c r="AF29" i="12"/>
  <c r="AE28" i="12"/>
  <c r="AE29" i="12"/>
  <c r="AD28" i="12"/>
  <c r="AD29" i="12"/>
  <c r="AC28" i="12"/>
  <c r="AC29" i="12"/>
  <c r="AB28" i="12"/>
  <c r="AB29" i="12"/>
  <c r="AA28" i="12"/>
  <c r="AA29" i="12"/>
  <c r="Z28" i="12"/>
  <c r="Z29" i="12"/>
  <c r="Y28" i="12"/>
  <c r="Y29" i="12"/>
  <c r="X28" i="12"/>
  <c r="X29" i="12"/>
  <c r="W28" i="12"/>
  <c r="W29" i="12"/>
  <c r="V28" i="12"/>
  <c r="V29" i="12"/>
  <c r="U28" i="12"/>
  <c r="U29" i="12"/>
  <c r="T28" i="12"/>
  <c r="T29" i="12"/>
  <c r="S28" i="12"/>
  <c r="S29" i="12"/>
  <c r="R28" i="12"/>
  <c r="R29" i="12"/>
  <c r="Q28" i="12"/>
  <c r="Q29" i="12"/>
  <c r="P28" i="12"/>
  <c r="P29" i="12"/>
  <c r="O28" i="12"/>
  <c r="O29" i="12"/>
  <c r="N28" i="12"/>
  <c r="N29" i="12"/>
  <c r="M28" i="12"/>
  <c r="M29" i="12"/>
  <c r="L28" i="12"/>
  <c r="L29" i="12"/>
  <c r="K28" i="12"/>
  <c r="K29" i="12"/>
  <c r="J28" i="12"/>
  <c r="J29" i="12"/>
  <c r="I28" i="12"/>
  <c r="I29" i="12"/>
  <c r="H28" i="12"/>
  <c r="H29" i="12"/>
  <c r="G28" i="12"/>
  <c r="G29" i="12"/>
  <c r="F28" i="12"/>
  <c r="F70" i="12"/>
  <c r="AH106" i="12"/>
  <c r="N70" i="12"/>
  <c r="N56" i="12"/>
  <c r="O56" i="12"/>
  <c r="G53" i="12"/>
  <c r="BU72" i="12"/>
  <c r="I18" i="14"/>
  <c r="AD18" i="14"/>
  <c r="F29" i="12"/>
  <c r="BO64" i="12"/>
  <c r="BO65" i="12"/>
  <c r="BO67" i="12"/>
  <c r="BO68" i="12"/>
  <c r="BO75" i="12"/>
  <c r="BO79" i="12"/>
  <c r="D18" i="14"/>
  <c r="BF70" i="12"/>
  <c r="AL70" i="12"/>
  <c r="BM70" i="12"/>
  <c r="BI70" i="12"/>
  <c r="BE70" i="12"/>
  <c r="BA70" i="12"/>
  <c r="AW70" i="12"/>
  <c r="AS70" i="12"/>
  <c r="AO70" i="12"/>
  <c r="AK70" i="12"/>
  <c r="AG70" i="12"/>
  <c r="AC70" i="12"/>
  <c r="Y70" i="12"/>
  <c r="U70" i="12"/>
  <c r="Q70" i="12"/>
  <c r="M70" i="12"/>
  <c r="I70" i="12"/>
  <c r="AX70" i="12"/>
  <c r="AP70" i="12"/>
  <c r="AD70" i="12"/>
  <c r="V70" i="12"/>
  <c r="R70" i="12"/>
  <c r="BL70" i="12"/>
  <c r="BH70" i="12"/>
  <c r="BD70" i="12"/>
  <c r="AZ70" i="12"/>
  <c r="AV70" i="12"/>
  <c r="AR70" i="12"/>
  <c r="AN70" i="12"/>
  <c r="AJ70" i="12"/>
  <c r="AF70" i="12"/>
  <c r="AB70" i="12"/>
  <c r="X70" i="12"/>
  <c r="T70" i="12"/>
  <c r="P70" i="12"/>
  <c r="L70" i="12"/>
  <c r="H70" i="12"/>
  <c r="BJ70" i="12"/>
  <c r="BB70" i="12"/>
  <c r="AT70" i="12"/>
  <c r="AH70" i="12"/>
  <c r="Z70" i="12"/>
  <c r="J70" i="12"/>
  <c r="BK70" i="12"/>
  <c r="BG70" i="12"/>
  <c r="BC70" i="12"/>
  <c r="AY70" i="12"/>
  <c r="AU70" i="12"/>
  <c r="AQ70" i="12"/>
  <c r="AM70" i="12"/>
  <c r="AI70" i="12"/>
  <c r="AE70" i="12"/>
  <c r="AA70" i="12"/>
  <c r="W70" i="12"/>
  <c r="S70" i="12"/>
  <c r="O70" i="12"/>
  <c r="K70" i="12"/>
  <c r="G70" i="12"/>
  <c r="BC14" i="12"/>
  <c r="BD14" i="12"/>
  <c r="BE14" i="12"/>
  <c r="BF14" i="12"/>
  <c r="BG14" i="12"/>
  <c r="BH14" i="12"/>
  <c r="BI14" i="12"/>
  <c r="BJ14" i="12"/>
  <c r="BK14" i="12"/>
  <c r="BL14" i="12"/>
  <c r="BM14" i="12"/>
  <c r="BB14" i="12"/>
  <c r="AQ14" i="12"/>
  <c r="AR14" i="12"/>
  <c r="AS14" i="12"/>
  <c r="AT14" i="12"/>
  <c r="AU14" i="12"/>
  <c r="AV14" i="12"/>
  <c r="AW14" i="12"/>
  <c r="AX14" i="12"/>
  <c r="AY14" i="12"/>
  <c r="AZ14" i="12"/>
  <c r="BA14" i="12"/>
  <c r="AP14" i="12"/>
  <c r="AE14" i="12"/>
  <c r="AF14" i="12"/>
  <c r="AG14" i="12"/>
  <c r="AH14" i="12"/>
  <c r="AI14" i="12"/>
  <c r="AJ14" i="12"/>
  <c r="AK14" i="12"/>
  <c r="AL14" i="12"/>
  <c r="AM14" i="12"/>
  <c r="AN14" i="12"/>
  <c r="AO14" i="12"/>
  <c r="AD14" i="12"/>
  <c r="S14" i="12"/>
  <c r="T14" i="12"/>
  <c r="U14" i="12"/>
  <c r="V14" i="12"/>
  <c r="W14" i="12"/>
  <c r="X14" i="12"/>
  <c r="Y14" i="12"/>
  <c r="Z14" i="12"/>
  <c r="AA14" i="12"/>
  <c r="AB14" i="12"/>
  <c r="AC14" i="12"/>
  <c r="R14" i="12"/>
  <c r="I14" i="12"/>
  <c r="H14" i="12"/>
  <c r="G14" i="12"/>
  <c r="F14" i="12"/>
  <c r="J14" i="12"/>
  <c r="K14" i="12"/>
  <c r="L14" i="12"/>
  <c r="M14" i="12"/>
  <c r="N14" i="12"/>
  <c r="O14" i="12"/>
  <c r="P14" i="12"/>
  <c r="Q14" i="12"/>
  <c r="G15" i="12"/>
  <c r="H15" i="12"/>
  <c r="I15" i="12"/>
  <c r="J15" i="12"/>
  <c r="K15" i="12"/>
  <c r="L15" i="12"/>
  <c r="M15" i="12"/>
  <c r="N15" i="12"/>
  <c r="O15" i="12"/>
  <c r="P15" i="12"/>
  <c r="Q15" i="12"/>
  <c r="R15" i="12"/>
  <c r="S15" i="12"/>
  <c r="T15" i="12"/>
  <c r="U15" i="12"/>
  <c r="V15" i="12"/>
  <c r="W15" i="12"/>
  <c r="X15" i="12"/>
  <c r="Y15" i="12"/>
  <c r="Z15" i="12"/>
  <c r="AA15" i="12"/>
  <c r="AB15" i="12"/>
  <c r="AC15" i="12"/>
  <c r="AD15" i="12"/>
  <c r="AE15" i="12"/>
  <c r="AF15" i="12"/>
  <c r="AG15" i="12"/>
  <c r="AH15" i="12"/>
  <c r="AI15" i="12"/>
  <c r="AJ15" i="12"/>
  <c r="AK15" i="12"/>
  <c r="AL15" i="12"/>
  <c r="AM15" i="12"/>
  <c r="AN15" i="12"/>
  <c r="AO15" i="12"/>
  <c r="AP15" i="12"/>
  <c r="AQ15" i="12"/>
  <c r="AR15" i="12"/>
  <c r="AS15" i="12"/>
  <c r="AT15" i="12"/>
  <c r="AU15" i="12"/>
  <c r="AV15" i="12"/>
  <c r="AW15" i="12"/>
  <c r="AX15" i="12"/>
  <c r="AY15" i="12"/>
  <c r="AZ15" i="12"/>
  <c r="BA15" i="12"/>
  <c r="BB15" i="12"/>
  <c r="BC15" i="12"/>
  <c r="BD15" i="12"/>
  <c r="BE15" i="12"/>
  <c r="BF15" i="12"/>
  <c r="BG15" i="12"/>
  <c r="BH15" i="12"/>
  <c r="BI15" i="12"/>
  <c r="BJ15" i="12"/>
  <c r="BK15" i="12"/>
  <c r="BL15" i="12"/>
  <c r="BM15" i="12"/>
  <c r="BC18" i="12"/>
  <c r="BD18" i="12"/>
  <c r="BE18" i="12"/>
  <c r="BF18" i="12"/>
  <c r="BG18" i="12"/>
  <c r="BH18" i="12"/>
  <c r="BI18" i="12"/>
  <c r="BJ18" i="12"/>
  <c r="BK18" i="12"/>
  <c r="BL18" i="12"/>
  <c r="BM18" i="12"/>
  <c r="BB18" i="12"/>
  <c r="AQ18" i="12"/>
  <c r="AR18" i="12"/>
  <c r="AS18" i="12"/>
  <c r="AT18" i="12"/>
  <c r="AU18" i="12"/>
  <c r="AV18" i="12"/>
  <c r="AW18" i="12"/>
  <c r="AX18" i="12"/>
  <c r="AY18" i="12"/>
  <c r="AZ18" i="12"/>
  <c r="BA18" i="12"/>
  <c r="AP18" i="12"/>
  <c r="AE18" i="12"/>
  <c r="AF18" i="12"/>
  <c r="AG18" i="12"/>
  <c r="AH18" i="12"/>
  <c r="AI18" i="12"/>
  <c r="AJ18" i="12"/>
  <c r="AK18" i="12"/>
  <c r="AL18" i="12"/>
  <c r="AM18" i="12"/>
  <c r="AN18" i="12"/>
  <c r="AO18" i="12"/>
  <c r="AD18" i="12"/>
  <c r="S18" i="12"/>
  <c r="T18" i="12"/>
  <c r="U18" i="12"/>
  <c r="V18" i="12"/>
  <c r="W18" i="12"/>
  <c r="X18" i="12"/>
  <c r="Y18" i="12"/>
  <c r="Z18" i="12"/>
  <c r="AA18" i="12"/>
  <c r="AB18" i="12"/>
  <c r="AC18" i="12"/>
  <c r="R18" i="12"/>
  <c r="G18" i="12"/>
  <c r="H18" i="12"/>
  <c r="I18" i="12"/>
  <c r="J18" i="12"/>
  <c r="K18" i="12"/>
  <c r="L18" i="12"/>
  <c r="M18" i="12"/>
  <c r="N18" i="12"/>
  <c r="O18" i="12"/>
  <c r="P18" i="12"/>
  <c r="Q18" i="12"/>
  <c r="F18" i="12"/>
  <c r="H53" i="12"/>
  <c r="G49" i="12"/>
  <c r="AI106" i="12"/>
  <c r="AJ106" i="12"/>
  <c r="AK106" i="12"/>
  <c r="AL106" i="12"/>
  <c r="AM106" i="12"/>
  <c r="AN106" i="12"/>
  <c r="AO106" i="12"/>
  <c r="AP106" i="12"/>
  <c r="P56" i="12"/>
  <c r="BT70" i="12"/>
  <c r="H20" i="14"/>
  <c r="BS70" i="12"/>
  <c r="G20" i="14"/>
  <c r="BQ70" i="12"/>
  <c r="E20" i="14"/>
  <c r="BP70" i="12"/>
  <c r="BO70" i="12"/>
  <c r="BR70" i="12"/>
  <c r="F20" i="14"/>
  <c r="F19" i="12"/>
  <c r="N19" i="12"/>
  <c r="J19" i="12"/>
  <c r="R19" i="12"/>
  <c r="Z19" i="12"/>
  <c r="V19" i="12"/>
  <c r="AD19" i="12"/>
  <c r="AL19" i="12"/>
  <c r="AH19" i="12"/>
  <c r="AP19" i="12"/>
  <c r="AX19" i="12"/>
  <c r="AT19" i="12"/>
  <c r="BB19" i="12"/>
  <c r="BJ19" i="12"/>
  <c r="BF19" i="12"/>
  <c r="L19" i="12"/>
  <c r="AB19" i="12"/>
  <c r="T19" i="12"/>
  <c r="AJ19" i="12"/>
  <c r="AV19" i="12"/>
  <c r="BL19" i="12"/>
  <c r="BD19" i="12"/>
  <c r="O19" i="12"/>
  <c r="AA19" i="12"/>
  <c r="S19" i="12"/>
  <c r="AI19" i="12"/>
  <c r="AY19" i="12"/>
  <c r="AQ19" i="12"/>
  <c r="BG19" i="12"/>
  <c r="P19" i="12"/>
  <c r="H19" i="12"/>
  <c r="X19" i="12"/>
  <c r="AN19" i="12"/>
  <c r="AF19" i="12"/>
  <c r="AZ19" i="12"/>
  <c r="AR19" i="12"/>
  <c r="BH19" i="12"/>
  <c r="K19" i="12"/>
  <c r="G19" i="12"/>
  <c r="W19" i="12"/>
  <c r="AM19" i="12"/>
  <c r="AE19" i="12"/>
  <c r="AU19" i="12"/>
  <c r="BK19" i="12"/>
  <c r="BC19" i="12"/>
  <c r="Q19" i="12"/>
  <c r="M19" i="12"/>
  <c r="I19" i="12"/>
  <c r="AC19" i="12"/>
  <c r="Y19" i="12"/>
  <c r="U19" i="12"/>
  <c r="AO19" i="12"/>
  <c r="AK19" i="12"/>
  <c r="AG19" i="12"/>
  <c r="BA19" i="12"/>
  <c r="AW19" i="12"/>
  <c r="AS19" i="12"/>
  <c r="BM19" i="12"/>
  <c r="BI19" i="12"/>
  <c r="BE19" i="12"/>
  <c r="I53" i="12"/>
  <c r="H49" i="12"/>
  <c r="BR106" i="12"/>
  <c r="AQ106" i="12"/>
  <c r="AR106" i="12"/>
  <c r="AS106" i="12"/>
  <c r="AT106" i="12"/>
  <c r="AU106" i="12"/>
  <c r="AV106" i="12"/>
  <c r="AW106" i="12"/>
  <c r="AX106" i="12"/>
  <c r="AY106" i="12"/>
  <c r="AZ106" i="12"/>
  <c r="BA106" i="12"/>
  <c r="BB106" i="12"/>
  <c r="Q56" i="12"/>
  <c r="BU70" i="12"/>
  <c r="I20" i="14"/>
  <c r="AD20" i="14"/>
  <c r="D20" i="14"/>
  <c r="BC6" i="12"/>
  <c r="BC7" i="12"/>
  <c r="BD6" i="12"/>
  <c r="BD7" i="12"/>
  <c r="BE6" i="12"/>
  <c r="BE7" i="12"/>
  <c r="BF6" i="12"/>
  <c r="BF7" i="12"/>
  <c r="BG6" i="12"/>
  <c r="BG7" i="12"/>
  <c r="BH6" i="12"/>
  <c r="BH7" i="12"/>
  <c r="BI6" i="12"/>
  <c r="BI7" i="12"/>
  <c r="BJ6" i="12"/>
  <c r="BJ7" i="12"/>
  <c r="BK6" i="12"/>
  <c r="BK7" i="12"/>
  <c r="BL6" i="12"/>
  <c r="BL7" i="12"/>
  <c r="BM6" i="12"/>
  <c r="BM7" i="12"/>
  <c r="BB6" i="12"/>
  <c r="BB7" i="12"/>
  <c r="AQ6" i="12"/>
  <c r="AQ7" i="12"/>
  <c r="AR6" i="12"/>
  <c r="AR7" i="12"/>
  <c r="AS6" i="12"/>
  <c r="AS7" i="12"/>
  <c r="AT6" i="12"/>
  <c r="AT7" i="12"/>
  <c r="AU6" i="12"/>
  <c r="AU7" i="12"/>
  <c r="AV6" i="12"/>
  <c r="AV7" i="12"/>
  <c r="AW6" i="12"/>
  <c r="AW7" i="12"/>
  <c r="AX6" i="12"/>
  <c r="AX7" i="12"/>
  <c r="AY6" i="12"/>
  <c r="AY7" i="12"/>
  <c r="AZ6" i="12"/>
  <c r="AZ7" i="12"/>
  <c r="BA6" i="12"/>
  <c r="BA7" i="12"/>
  <c r="AP6" i="12"/>
  <c r="AP7" i="12"/>
  <c r="AE6" i="12"/>
  <c r="AE7" i="12"/>
  <c r="AF6" i="12"/>
  <c r="AF7" i="12"/>
  <c r="AG6" i="12"/>
  <c r="AG7" i="12"/>
  <c r="AH6" i="12"/>
  <c r="AH7" i="12"/>
  <c r="AI6" i="12"/>
  <c r="AI7" i="12"/>
  <c r="AJ6" i="12"/>
  <c r="AJ7" i="12"/>
  <c r="AK6" i="12"/>
  <c r="AK7" i="12"/>
  <c r="AL6" i="12"/>
  <c r="AL7" i="12"/>
  <c r="AM6" i="12"/>
  <c r="AM7" i="12"/>
  <c r="AN6" i="12"/>
  <c r="AN7" i="12"/>
  <c r="AO6" i="12"/>
  <c r="AO7" i="12"/>
  <c r="AD6" i="12"/>
  <c r="AD7" i="12"/>
  <c r="S6" i="12"/>
  <c r="S7" i="12"/>
  <c r="T6" i="12"/>
  <c r="T7" i="12"/>
  <c r="U6" i="12"/>
  <c r="U7" i="12"/>
  <c r="V6" i="12"/>
  <c r="V7" i="12"/>
  <c r="W6" i="12"/>
  <c r="W7" i="12"/>
  <c r="X6" i="12"/>
  <c r="X7" i="12"/>
  <c r="Y6" i="12"/>
  <c r="Y7" i="12"/>
  <c r="Z6" i="12"/>
  <c r="Z7" i="12"/>
  <c r="AA6" i="12"/>
  <c r="AA7" i="12"/>
  <c r="AB6" i="12"/>
  <c r="AB7" i="12"/>
  <c r="AC6" i="12"/>
  <c r="AC7" i="12"/>
  <c r="R6" i="12"/>
  <c r="R7" i="12"/>
  <c r="J53" i="12"/>
  <c r="I49" i="12"/>
  <c r="BC106" i="12"/>
  <c r="BD106" i="12"/>
  <c r="BE106" i="12"/>
  <c r="BF106" i="12"/>
  <c r="BG106" i="12"/>
  <c r="BH106" i="12"/>
  <c r="BI106" i="12"/>
  <c r="BJ106" i="12"/>
  <c r="BK106" i="12"/>
  <c r="BL106" i="12"/>
  <c r="BM106" i="12"/>
  <c r="BO106" i="12"/>
  <c r="BS106" i="12"/>
  <c r="R56" i="12"/>
  <c r="S56" i="12"/>
  <c r="K53" i="12"/>
  <c r="J49" i="12"/>
  <c r="AD32" i="14"/>
  <c r="BT106" i="12"/>
  <c r="T56" i="12"/>
  <c r="BT118" i="12"/>
  <c r="H31" i="14"/>
  <c r="BR118" i="12"/>
  <c r="F31" i="14"/>
  <c r="BS118" i="12"/>
  <c r="G31" i="14"/>
  <c r="BQ118" i="12"/>
  <c r="E31" i="14"/>
  <c r="G6" i="12"/>
  <c r="G7" i="12"/>
  <c r="H6" i="12"/>
  <c r="H7" i="12"/>
  <c r="I6" i="12"/>
  <c r="I7" i="12"/>
  <c r="J6" i="12"/>
  <c r="J7" i="12"/>
  <c r="K6" i="12"/>
  <c r="K7" i="12"/>
  <c r="L6" i="12"/>
  <c r="L7" i="12"/>
  <c r="M6" i="12"/>
  <c r="M7" i="12"/>
  <c r="N6" i="12"/>
  <c r="N7" i="12"/>
  <c r="O6" i="12"/>
  <c r="O7" i="12"/>
  <c r="P6" i="12"/>
  <c r="P7" i="12"/>
  <c r="Q6" i="12"/>
  <c r="Q7" i="12"/>
  <c r="F6" i="12"/>
  <c r="F7" i="12"/>
  <c r="F8" i="12"/>
  <c r="BM9" i="12"/>
  <c r="BL9" i="12"/>
  <c r="BK9" i="12"/>
  <c r="BJ9" i="12"/>
  <c r="BI9" i="12"/>
  <c r="BH9" i="12"/>
  <c r="BG9" i="12"/>
  <c r="BF9" i="12"/>
  <c r="BE9" i="12"/>
  <c r="BD9" i="12"/>
  <c r="BC9" i="12"/>
  <c r="BB9" i="12"/>
  <c r="BA9" i="12"/>
  <c r="AZ9" i="12"/>
  <c r="AY9" i="12"/>
  <c r="AX9" i="12"/>
  <c r="AW9" i="12"/>
  <c r="AV9" i="12"/>
  <c r="AU9" i="12"/>
  <c r="AT9" i="12"/>
  <c r="AS9" i="12"/>
  <c r="AR9" i="12"/>
  <c r="AQ9" i="12"/>
  <c r="AP9" i="12"/>
  <c r="AO9" i="12"/>
  <c r="AN9" i="12"/>
  <c r="AM9" i="12"/>
  <c r="AL9" i="12"/>
  <c r="AK9" i="12"/>
  <c r="AJ9" i="12"/>
  <c r="AI9" i="12"/>
  <c r="AH9" i="12"/>
  <c r="AG9" i="12"/>
  <c r="AF9" i="12"/>
  <c r="AE9" i="12"/>
  <c r="AD9" i="12"/>
  <c r="AC9" i="12"/>
  <c r="AB9" i="12"/>
  <c r="AA9" i="12"/>
  <c r="Z9" i="12"/>
  <c r="Y9" i="12"/>
  <c r="X9" i="12"/>
  <c r="W9" i="12"/>
  <c r="V9" i="12"/>
  <c r="U9" i="12"/>
  <c r="T9" i="12"/>
  <c r="S9" i="12"/>
  <c r="R9" i="12"/>
  <c r="Q9" i="12"/>
  <c r="P9" i="12"/>
  <c r="O9" i="12"/>
  <c r="N9" i="12"/>
  <c r="M9" i="12"/>
  <c r="L9" i="12"/>
  <c r="K9" i="12"/>
  <c r="J9" i="12"/>
  <c r="I9" i="12"/>
  <c r="H9" i="12"/>
  <c r="G9" i="12"/>
  <c r="F9" i="12"/>
  <c r="BU106" i="12"/>
  <c r="F86" i="12"/>
  <c r="F63" i="12"/>
  <c r="L53" i="12"/>
  <c r="K49" i="12"/>
  <c r="F40" i="12"/>
  <c r="F38" i="12"/>
  <c r="U56" i="12"/>
  <c r="F60" i="12"/>
  <c r="F36" i="12"/>
  <c r="G17" i="12"/>
  <c r="G27" i="12"/>
  <c r="K17" i="12"/>
  <c r="K27" i="12"/>
  <c r="O17" i="12"/>
  <c r="O27" i="12"/>
  <c r="S17" i="12"/>
  <c r="S27" i="12"/>
  <c r="W17" i="12"/>
  <c r="W27" i="12"/>
  <c r="W31" i="12"/>
  <c r="AA17" i="12"/>
  <c r="AA27" i="12"/>
  <c r="AE17" i="12"/>
  <c r="AE27" i="12"/>
  <c r="AI17" i="12"/>
  <c r="AI27" i="12"/>
  <c r="AM17" i="12"/>
  <c r="AM27" i="12"/>
  <c r="AM31" i="12"/>
  <c r="AQ17" i="12"/>
  <c r="AQ27" i="12"/>
  <c r="AU17" i="12"/>
  <c r="AU27" i="12"/>
  <c r="AY17" i="12"/>
  <c r="AY27" i="12"/>
  <c r="BC17" i="12"/>
  <c r="BC27" i="12"/>
  <c r="BC31" i="12"/>
  <c r="BG17" i="12"/>
  <c r="BG27" i="12"/>
  <c r="BK17" i="12"/>
  <c r="BK27" i="12"/>
  <c r="H17" i="12"/>
  <c r="H27" i="12"/>
  <c r="L17" i="12"/>
  <c r="L27" i="12"/>
  <c r="L31" i="12"/>
  <c r="P17" i="12"/>
  <c r="P27" i="12"/>
  <c r="T17" i="12"/>
  <c r="T27" i="12"/>
  <c r="X17" i="12"/>
  <c r="X27" i="12"/>
  <c r="AB17" i="12"/>
  <c r="AB27" i="12"/>
  <c r="AB31" i="12"/>
  <c r="AF17" i="12"/>
  <c r="AF27" i="12"/>
  <c r="AJ17" i="12"/>
  <c r="AJ27" i="12"/>
  <c r="AN17" i="12"/>
  <c r="AN27" i="12"/>
  <c r="AR17" i="12"/>
  <c r="AR27" i="12"/>
  <c r="AR31" i="12"/>
  <c r="AV17" i="12"/>
  <c r="AV27" i="12"/>
  <c r="AZ17" i="12"/>
  <c r="AZ27" i="12"/>
  <c r="BD17" i="12"/>
  <c r="BD27" i="12"/>
  <c r="BH17" i="12"/>
  <c r="BH27" i="12"/>
  <c r="BH31" i="12"/>
  <c r="BL17" i="12"/>
  <c r="BL27" i="12"/>
  <c r="I17" i="12"/>
  <c r="I27" i="12"/>
  <c r="M17" i="12"/>
  <c r="M27" i="12"/>
  <c r="Q17" i="12"/>
  <c r="Q27" i="12"/>
  <c r="Q31" i="12"/>
  <c r="U17" i="12"/>
  <c r="U27" i="12"/>
  <c r="Y17" i="12"/>
  <c r="Y27" i="12"/>
  <c r="AC17" i="12"/>
  <c r="AC27" i="12"/>
  <c r="AG17" i="12"/>
  <c r="AG27" i="12"/>
  <c r="AG31" i="12"/>
  <c r="AK17" i="12"/>
  <c r="AK27" i="12"/>
  <c r="AO17" i="12"/>
  <c r="AO27" i="12"/>
  <c r="AS17" i="12"/>
  <c r="AS27" i="12"/>
  <c r="AW17" i="12"/>
  <c r="AW27" i="12"/>
  <c r="AW31" i="12"/>
  <c r="BA17" i="12"/>
  <c r="BA27" i="12"/>
  <c r="BE17" i="12"/>
  <c r="BE27" i="12"/>
  <c r="BI17" i="12"/>
  <c r="BI27" i="12"/>
  <c r="BM17" i="12"/>
  <c r="BM27" i="12"/>
  <c r="BM31" i="12"/>
  <c r="F17" i="12"/>
  <c r="F27" i="12"/>
  <c r="J17" i="12"/>
  <c r="J27" i="12"/>
  <c r="J31" i="12"/>
  <c r="N17" i="12"/>
  <c r="N27" i="12"/>
  <c r="R17" i="12"/>
  <c r="R27" i="12"/>
  <c r="R31" i="12"/>
  <c r="V17" i="12"/>
  <c r="V27" i="12"/>
  <c r="Z17" i="12"/>
  <c r="Z27" i="12"/>
  <c r="Z31" i="12"/>
  <c r="AD17" i="12"/>
  <c r="AD27" i="12"/>
  <c r="AH17" i="12"/>
  <c r="AH27" i="12"/>
  <c r="AH31" i="12"/>
  <c r="AL17" i="12"/>
  <c r="AL27" i="12"/>
  <c r="AP17" i="12"/>
  <c r="AP27" i="12"/>
  <c r="AP31" i="12"/>
  <c r="AT17" i="12"/>
  <c r="AT27" i="12"/>
  <c r="AX17" i="12"/>
  <c r="AX27" i="12"/>
  <c r="AX31" i="12"/>
  <c r="BB17" i="12"/>
  <c r="BB27" i="12"/>
  <c r="BF17" i="12"/>
  <c r="BF27" i="12"/>
  <c r="BF31" i="12"/>
  <c r="BJ17" i="12"/>
  <c r="BJ27" i="12"/>
  <c r="F26" i="12"/>
  <c r="G8" i="12"/>
  <c r="BJ31" i="12"/>
  <c r="BB31" i="12"/>
  <c r="BB34" i="12"/>
  <c r="AT31" i="12"/>
  <c r="AL31" i="12"/>
  <c r="AD31" i="12"/>
  <c r="AD34" i="12"/>
  <c r="BI31" i="12"/>
  <c r="BI34" i="12"/>
  <c r="AS31" i="12"/>
  <c r="AS34" i="12"/>
  <c r="AC31" i="12"/>
  <c r="AC34" i="12"/>
  <c r="M31" i="12"/>
  <c r="M34" i="12"/>
  <c r="BD31" i="12"/>
  <c r="AN31" i="12"/>
  <c r="AN34" i="12"/>
  <c r="X31" i="12"/>
  <c r="X34" i="12"/>
  <c r="H31" i="12"/>
  <c r="AY31" i="12"/>
  <c r="AY34" i="12"/>
  <c r="AI31" i="12"/>
  <c r="AI34" i="12"/>
  <c r="BE31" i="12"/>
  <c r="BE34" i="12"/>
  <c r="N31" i="12"/>
  <c r="N34" i="12"/>
  <c r="S31" i="12"/>
  <c r="S34" i="12"/>
  <c r="V31" i="12"/>
  <c r="V34" i="12"/>
  <c r="F31" i="12"/>
  <c r="F34" i="12"/>
  <c r="F33" i="12"/>
  <c r="F78" i="12"/>
  <c r="BA31" i="12"/>
  <c r="BA34" i="12"/>
  <c r="AK31" i="12"/>
  <c r="AK34" i="12"/>
  <c r="U31" i="12"/>
  <c r="U34" i="12"/>
  <c r="BL31" i="12"/>
  <c r="BL34" i="12"/>
  <c r="AV31" i="12"/>
  <c r="AV34" i="12"/>
  <c r="AF31" i="12"/>
  <c r="AF34" i="12"/>
  <c r="P31" i="12"/>
  <c r="P34" i="12"/>
  <c r="BG31" i="12"/>
  <c r="BG34" i="12"/>
  <c r="AQ31" i="12"/>
  <c r="AA31" i="12"/>
  <c r="K31" i="12"/>
  <c r="AO31" i="12"/>
  <c r="AO34" i="12"/>
  <c r="Y31" i="12"/>
  <c r="Y34" i="12"/>
  <c r="I31" i="12"/>
  <c r="I34" i="12"/>
  <c r="AZ31" i="12"/>
  <c r="AZ34" i="12"/>
  <c r="AJ31" i="12"/>
  <c r="AJ34" i="12"/>
  <c r="T31" i="12"/>
  <c r="T34" i="12"/>
  <c r="BK31" i="12"/>
  <c r="BK34" i="12"/>
  <c r="AU31" i="12"/>
  <c r="AU34" i="12"/>
  <c r="AE31" i="12"/>
  <c r="AE34" i="12"/>
  <c r="O31" i="12"/>
  <c r="O34" i="12"/>
  <c r="G31" i="12"/>
  <c r="G34" i="12"/>
  <c r="Z34" i="12"/>
  <c r="J34" i="12"/>
  <c r="BJ34" i="12"/>
  <c r="BD34" i="12"/>
  <c r="AX34" i="12"/>
  <c r="AH34" i="12"/>
  <c r="R34" i="12"/>
  <c r="AW34" i="12"/>
  <c r="AG34" i="12"/>
  <c r="Q34" i="12"/>
  <c r="BH34" i="12"/>
  <c r="AR34" i="12"/>
  <c r="AB34" i="12"/>
  <c r="L34" i="12"/>
  <c r="W34" i="12"/>
  <c r="H34" i="12"/>
  <c r="AL34" i="12"/>
  <c r="AA34" i="12"/>
  <c r="K34" i="12"/>
  <c r="M53" i="12"/>
  <c r="L49" i="12"/>
  <c r="G40" i="12"/>
  <c r="G38" i="12"/>
  <c r="G86" i="12"/>
  <c r="V56" i="12"/>
  <c r="W56" i="12"/>
  <c r="G60" i="12"/>
  <c r="G63" i="12"/>
  <c r="G36" i="12"/>
  <c r="F22" i="12"/>
  <c r="BF34" i="12"/>
  <c r="AP34" i="12"/>
  <c r="BC34" i="12"/>
  <c r="AQ34" i="12"/>
  <c r="AM34" i="12"/>
  <c r="AT34" i="12"/>
  <c r="BM34" i="12"/>
  <c r="G26" i="12"/>
  <c r="G22" i="12"/>
  <c r="H8" i="12"/>
  <c r="F89" i="12"/>
  <c r="N53" i="12"/>
  <c r="M49" i="12"/>
  <c r="H40" i="12"/>
  <c r="H38" i="12"/>
  <c r="H86" i="12"/>
  <c r="G33" i="12"/>
  <c r="G78" i="12"/>
  <c r="X56" i="12"/>
  <c r="H60" i="12"/>
  <c r="H63" i="12"/>
  <c r="H36" i="12"/>
  <c r="H26" i="12"/>
  <c r="I8" i="12"/>
  <c r="O53" i="12"/>
  <c r="N49" i="12"/>
  <c r="I40" i="12"/>
  <c r="I38" i="12"/>
  <c r="I86" i="12"/>
  <c r="G89" i="12"/>
  <c r="Y56" i="12"/>
  <c r="H33" i="12"/>
  <c r="H78" i="12"/>
  <c r="H22" i="12"/>
  <c r="I60" i="12"/>
  <c r="I63" i="12"/>
  <c r="I36" i="12"/>
  <c r="I33" i="12"/>
  <c r="I78" i="12"/>
  <c r="I26" i="12"/>
  <c r="I22" i="12"/>
  <c r="J8" i="12"/>
  <c r="P53" i="12"/>
  <c r="O49" i="12"/>
  <c r="J40" i="12"/>
  <c r="J38" i="12"/>
  <c r="J86" i="12"/>
  <c r="Z56" i="12"/>
  <c r="AA56" i="12"/>
  <c r="H89" i="12"/>
  <c r="I89" i="12"/>
  <c r="J60" i="12"/>
  <c r="J63" i="12"/>
  <c r="J36" i="12"/>
  <c r="J26" i="12"/>
  <c r="K8" i="12"/>
  <c r="Q53" i="12"/>
  <c r="P49" i="12"/>
  <c r="K40" i="12"/>
  <c r="K38" i="12"/>
  <c r="K86" i="12"/>
  <c r="AB56" i="12"/>
  <c r="J22" i="12"/>
  <c r="J33" i="12"/>
  <c r="J78" i="12"/>
  <c r="K60" i="12"/>
  <c r="K63" i="12"/>
  <c r="K36" i="12"/>
  <c r="K33" i="12"/>
  <c r="K78" i="12"/>
  <c r="K26" i="12"/>
  <c r="K22" i="12"/>
  <c r="L8" i="12"/>
  <c r="G16" i="12"/>
  <c r="F16" i="12"/>
  <c r="BQ105" i="12"/>
  <c r="E23" i="14"/>
  <c r="R53" i="12"/>
  <c r="Q49" i="12"/>
  <c r="L40" i="12"/>
  <c r="L38" i="12"/>
  <c r="L86" i="12"/>
  <c r="AC56" i="12"/>
  <c r="J89" i="12"/>
  <c r="K89" i="12"/>
  <c r="L60" i="12"/>
  <c r="L63" i="12"/>
  <c r="L36" i="12"/>
  <c r="L33" i="12"/>
  <c r="L78" i="12"/>
  <c r="F12" i="12"/>
  <c r="F42" i="12"/>
  <c r="F104" i="12"/>
  <c r="G12" i="12"/>
  <c r="G42" i="12"/>
  <c r="L26" i="12"/>
  <c r="L22" i="12"/>
  <c r="M8" i="12"/>
  <c r="H16" i="12"/>
  <c r="F95" i="12"/>
  <c r="G57" i="12"/>
  <c r="G58" i="12"/>
  <c r="G55" i="12"/>
  <c r="S53" i="12"/>
  <c r="R49" i="12"/>
  <c r="F74" i="12"/>
  <c r="M40" i="12"/>
  <c r="M38" i="12"/>
  <c r="M86" i="12"/>
  <c r="AD56" i="12"/>
  <c r="AE56" i="12"/>
  <c r="L89" i="12"/>
  <c r="M60" i="12"/>
  <c r="M63" i="12"/>
  <c r="M36" i="12"/>
  <c r="M33" i="12"/>
  <c r="M78" i="12"/>
  <c r="H12" i="12"/>
  <c r="H42" i="12"/>
  <c r="M26" i="12"/>
  <c r="M22" i="12"/>
  <c r="N8" i="12"/>
  <c r="I16" i="12"/>
  <c r="J16" i="12"/>
  <c r="G104" i="12"/>
  <c r="F57" i="12"/>
  <c r="F58" i="12"/>
  <c r="F55" i="12"/>
  <c r="G124" i="12"/>
  <c r="G82" i="12"/>
  <c r="G95" i="12"/>
  <c r="H95" i="12"/>
  <c r="G74" i="12"/>
  <c r="T53" i="12"/>
  <c r="S49" i="12"/>
  <c r="F93" i="12"/>
  <c r="N40" i="12"/>
  <c r="N38" i="12"/>
  <c r="N86" i="12"/>
  <c r="H57" i="12"/>
  <c r="H58" i="12"/>
  <c r="H55" i="12"/>
  <c r="AF56" i="12"/>
  <c r="F124" i="12"/>
  <c r="M89" i="12"/>
  <c r="N60" i="12"/>
  <c r="N63" i="12"/>
  <c r="N36" i="12"/>
  <c r="N33" i="12"/>
  <c r="N78" i="12"/>
  <c r="I12" i="12"/>
  <c r="I42" i="12"/>
  <c r="J12" i="12"/>
  <c r="J42" i="12"/>
  <c r="N26" i="12"/>
  <c r="N22" i="12"/>
  <c r="O8" i="12"/>
  <c r="K16" i="12"/>
  <c r="G93" i="12"/>
  <c r="G111" i="12"/>
  <c r="G114" i="12"/>
  <c r="G115" i="12"/>
  <c r="H104" i="12"/>
  <c r="H124" i="12"/>
  <c r="H125" i="12"/>
  <c r="H122" i="12"/>
  <c r="H82" i="12"/>
  <c r="H74" i="12"/>
  <c r="F111" i="12"/>
  <c r="U53" i="12"/>
  <c r="T49" i="12"/>
  <c r="J95" i="12"/>
  <c r="O40" i="12"/>
  <c r="O38" i="12"/>
  <c r="O86" i="12"/>
  <c r="J82" i="12"/>
  <c r="G125" i="12"/>
  <c r="G122" i="12"/>
  <c r="F125" i="12"/>
  <c r="F122" i="12"/>
  <c r="AG56" i="12"/>
  <c r="N89" i="12"/>
  <c r="O60" i="12"/>
  <c r="O63" i="12"/>
  <c r="O36" i="12"/>
  <c r="O33" i="12"/>
  <c r="O78" i="12"/>
  <c r="K12" i="12"/>
  <c r="K42" i="12"/>
  <c r="O26" i="12"/>
  <c r="O22" i="12"/>
  <c r="P8" i="12"/>
  <c r="L16" i="12"/>
  <c r="H93" i="12"/>
  <c r="H111" i="12"/>
  <c r="I104" i="12"/>
  <c r="I95" i="12"/>
  <c r="V53" i="12"/>
  <c r="U49" i="12"/>
  <c r="J124" i="12"/>
  <c r="I74" i="12"/>
  <c r="I124" i="12"/>
  <c r="I125" i="12"/>
  <c r="I122" i="12"/>
  <c r="I82" i="12"/>
  <c r="J74" i="12"/>
  <c r="J57" i="12"/>
  <c r="J58" i="12"/>
  <c r="J55" i="12"/>
  <c r="J104" i="12"/>
  <c r="I57" i="12"/>
  <c r="I58" i="12"/>
  <c r="I55" i="12"/>
  <c r="P40" i="12"/>
  <c r="P38" i="12"/>
  <c r="P86" i="12"/>
  <c r="G130" i="12"/>
  <c r="G136" i="12"/>
  <c r="AH56" i="12"/>
  <c r="AI56" i="12"/>
  <c r="F114" i="12"/>
  <c r="O89" i="12"/>
  <c r="P60" i="12"/>
  <c r="P63" i="12"/>
  <c r="P36" i="12"/>
  <c r="P33" i="12"/>
  <c r="P78" i="12"/>
  <c r="L12" i="12"/>
  <c r="L42" i="12"/>
  <c r="P26" i="12"/>
  <c r="P22" i="12"/>
  <c r="Q8" i="12"/>
  <c r="M16" i="12"/>
  <c r="J93" i="12"/>
  <c r="J111" i="12"/>
  <c r="J114" i="12"/>
  <c r="J115" i="12"/>
  <c r="K104" i="12"/>
  <c r="K95" i="12"/>
  <c r="W53" i="12"/>
  <c r="V49" i="12"/>
  <c r="K57" i="12"/>
  <c r="K58" i="12"/>
  <c r="K55" i="12"/>
  <c r="K74" i="12"/>
  <c r="J125" i="12"/>
  <c r="J122" i="12"/>
  <c r="I93" i="12"/>
  <c r="I111" i="12"/>
  <c r="K124" i="12"/>
  <c r="K125" i="12"/>
  <c r="K122" i="12"/>
  <c r="L95" i="12"/>
  <c r="K82" i="12"/>
  <c r="Q40" i="12"/>
  <c r="Q38" i="12"/>
  <c r="BP38" i="12"/>
  <c r="D10" i="14"/>
  <c r="Q86" i="12"/>
  <c r="BP86" i="12"/>
  <c r="D22" i="14"/>
  <c r="F115" i="12"/>
  <c r="AJ56" i="12"/>
  <c r="H130" i="12"/>
  <c r="H136" i="12"/>
  <c r="H114" i="12"/>
  <c r="H115" i="12"/>
  <c r="BP103" i="12"/>
  <c r="BP102" i="12"/>
  <c r="P89" i="12"/>
  <c r="Q60" i="12"/>
  <c r="Q63" i="12"/>
  <c r="BP63" i="12"/>
  <c r="D15" i="14"/>
  <c r="Q36" i="12"/>
  <c r="Q33" i="12"/>
  <c r="Q78" i="12"/>
  <c r="BP49" i="12"/>
  <c r="M12" i="12"/>
  <c r="M42" i="12"/>
  <c r="Q26" i="12"/>
  <c r="R8" i="12"/>
  <c r="N16" i="12"/>
  <c r="L104" i="12"/>
  <c r="L74" i="12"/>
  <c r="X53" i="12"/>
  <c r="W49" i="12"/>
  <c r="K93" i="12"/>
  <c r="K111" i="12"/>
  <c r="L57" i="12"/>
  <c r="L58" i="12"/>
  <c r="L55" i="12"/>
  <c r="L124" i="12"/>
  <c r="L125" i="12"/>
  <c r="L122" i="12"/>
  <c r="L82" i="12"/>
  <c r="BP60" i="12"/>
  <c r="D14" i="14"/>
  <c r="R40" i="12"/>
  <c r="R38" i="12"/>
  <c r="R86" i="12"/>
  <c r="AK56" i="12"/>
  <c r="J130" i="12"/>
  <c r="J136" i="12"/>
  <c r="I130" i="12"/>
  <c r="I136" i="12"/>
  <c r="I114" i="12"/>
  <c r="BP78" i="12"/>
  <c r="Q89" i="12"/>
  <c r="R60" i="12"/>
  <c r="R63" i="12"/>
  <c r="R36" i="12"/>
  <c r="R33" i="12"/>
  <c r="R78" i="12"/>
  <c r="Q22" i="12"/>
  <c r="BP22" i="12"/>
  <c r="D8" i="14"/>
  <c r="N12" i="12"/>
  <c r="N42" i="12"/>
  <c r="R26" i="12"/>
  <c r="R22" i="12"/>
  <c r="S8" i="12"/>
  <c r="O16" i="12"/>
  <c r="M104" i="12"/>
  <c r="M95" i="12"/>
  <c r="L93" i="12"/>
  <c r="L111" i="12"/>
  <c r="Y53" i="12"/>
  <c r="X49" i="12"/>
  <c r="K114" i="12"/>
  <c r="K115" i="12"/>
  <c r="K130" i="12"/>
  <c r="K136" i="12"/>
  <c r="M57" i="12"/>
  <c r="M58" i="12"/>
  <c r="M55" i="12"/>
  <c r="M82" i="12"/>
  <c r="S40" i="12"/>
  <c r="S38" i="12"/>
  <c r="S86" i="12"/>
  <c r="BP89" i="12"/>
  <c r="D21" i="14"/>
  <c r="I115" i="12"/>
  <c r="AL56" i="12"/>
  <c r="AM56" i="12"/>
  <c r="M74" i="12"/>
  <c r="M124" i="12"/>
  <c r="D17" i="14"/>
  <c r="R89" i="12"/>
  <c r="S60" i="12"/>
  <c r="S63" i="12"/>
  <c r="S36" i="12"/>
  <c r="S33" i="12"/>
  <c r="S78" i="12"/>
  <c r="O12" i="12"/>
  <c r="O42" i="12"/>
  <c r="S26" i="12"/>
  <c r="S22" i="12"/>
  <c r="T8" i="12"/>
  <c r="P16" i="12"/>
  <c r="N104" i="12"/>
  <c r="N95" i="12"/>
  <c r="Z53" i="12"/>
  <c r="Y49" i="12"/>
  <c r="N74" i="12"/>
  <c r="N124" i="12"/>
  <c r="N125" i="12"/>
  <c r="N122" i="12"/>
  <c r="N57" i="12"/>
  <c r="N58" i="12"/>
  <c r="N55" i="12"/>
  <c r="N82" i="12"/>
  <c r="M93" i="12"/>
  <c r="M111" i="12"/>
  <c r="T40" i="12"/>
  <c r="T38" i="12"/>
  <c r="T86" i="12"/>
  <c r="AN56" i="12"/>
  <c r="L130" i="12"/>
  <c r="L114" i="12"/>
  <c r="M125" i="12"/>
  <c r="M122" i="12"/>
  <c r="S89" i="12"/>
  <c r="T60" i="12"/>
  <c r="T63" i="12"/>
  <c r="T36" i="12"/>
  <c r="T33" i="12"/>
  <c r="T78" i="12"/>
  <c r="P12" i="12"/>
  <c r="P42" i="12"/>
  <c r="T26" i="12"/>
  <c r="T22" i="12"/>
  <c r="U8" i="12"/>
  <c r="Q16" i="12"/>
  <c r="O104" i="12"/>
  <c r="O95" i="12"/>
  <c r="AA53" i="12"/>
  <c r="Z49" i="12"/>
  <c r="N93" i="12"/>
  <c r="N111" i="12"/>
  <c r="O74" i="12"/>
  <c r="O57" i="12"/>
  <c r="O58" i="12"/>
  <c r="O55" i="12"/>
  <c r="O124" i="12"/>
  <c r="O125" i="12"/>
  <c r="O122" i="12"/>
  <c r="O82" i="12"/>
  <c r="U40" i="12"/>
  <c r="U38" i="12"/>
  <c r="U86" i="12"/>
  <c r="L115" i="12"/>
  <c r="L136" i="12"/>
  <c r="AO56" i="12"/>
  <c r="M114" i="12"/>
  <c r="M115" i="12"/>
  <c r="T89" i="12"/>
  <c r="U60" i="12"/>
  <c r="U63" i="12"/>
  <c r="U36" i="12"/>
  <c r="U33" i="12"/>
  <c r="U78" i="12"/>
  <c r="Q12" i="12"/>
  <c r="Q42" i="12"/>
  <c r="U26" i="12"/>
  <c r="U22" i="12"/>
  <c r="V8" i="12"/>
  <c r="R16" i="12"/>
  <c r="P104" i="12"/>
  <c r="P95" i="12"/>
  <c r="AB53" i="12"/>
  <c r="AA49" i="12"/>
  <c r="N114" i="12"/>
  <c r="N115" i="12"/>
  <c r="N130" i="12"/>
  <c r="N136" i="12"/>
  <c r="O93" i="12"/>
  <c r="P74" i="12"/>
  <c r="P124" i="12"/>
  <c r="P125" i="12"/>
  <c r="P122" i="12"/>
  <c r="P82" i="12"/>
  <c r="P57" i="12"/>
  <c r="P58" i="12"/>
  <c r="P55" i="12"/>
  <c r="V40" i="12"/>
  <c r="V38" i="12"/>
  <c r="V86" i="12"/>
  <c r="AP56" i="12"/>
  <c r="AQ56" i="12"/>
  <c r="M130" i="12"/>
  <c r="BP12" i="12"/>
  <c r="U89" i="12"/>
  <c r="V60" i="12"/>
  <c r="V63" i="12"/>
  <c r="V36" i="12"/>
  <c r="V33" i="12"/>
  <c r="V78" i="12"/>
  <c r="R12" i="12"/>
  <c r="R42" i="12"/>
  <c r="V26" i="12"/>
  <c r="V22" i="12"/>
  <c r="W8" i="12"/>
  <c r="S16" i="12"/>
  <c r="O111" i="12"/>
  <c r="O114" i="12"/>
  <c r="Q104" i="12"/>
  <c r="BP104" i="12"/>
  <c r="Q95" i="12"/>
  <c r="BP95" i="12"/>
  <c r="AC53" i="12"/>
  <c r="AB49" i="12"/>
  <c r="P93" i="12"/>
  <c r="Q82" i="12"/>
  <c r="BP82" i="12"/>
  <c r="D19" i="14"/>
  <c r="Q57" i="12"/>
  <c r="Q58" i="12"/>
  <c r="Q55" i="12"/>
  <c r="BP55" i="12"/>
  <c r="D13" i="14"/>
  <c r="R82" i="12"/>
  <c r="D7" i="14"/>
  <c r="W40" i="12"/>
  <c r="W38" i="12"/>
  <c r="W86" i="12"/>
  <c r="M136" i="12"/>
  <c r="AR56" i="12"/>
  <c r="Q124" i="12"/>
  <c r="Q125" i="12"/>
  <c r="Q74" i="12"/>
  <c r="V89" i="12"/>
  <c r="W60" i="12"/>
  <c r="W63" i="12"/>
  <c r="W36" i="12"/>
  <c r="W33" i="12"/>
  <c r="W78" i="12"/>
  <c r="S12" i="12"/>
  <c r="S42" i="12"/>
  <c r="W26" i="12"/>
  <c r="W22" i="12"/>
  <c r="X8" i="12"/>
  <c r="BP42" i="12"/>
  <c r="BP33" i="12"/>
  <c r="D9" i="14"/>
  <c r="T16" i="12"/>
  <c r="O130" i="12"/>
  <c r="O136" i="12"/>
  <c r="P111" i="12"/>
  <c r="P114" i="12"/>
  <c r="P115" i="12"/>
  <c r="BR105" i="12"/>
  <c r="F23" i="14"/>
  <c r="R104" i="12"/>
  <c r="R95" i="12"/>
  <c r="AD53" i="12"/>
  <c r="AC49" i="12"/>
  <c r="R74" i="12"/>
  <c r="R57" i="12"/>
  <c r="R58" i="12"/>
  <c r="R55" i="12"/>
  <c r="R124" i="12"/>
  <c r="R125" i="12"/>
  <c r="R122" i="12"/>
  <c r="BP43" i="12"/>
  <c r="D6" i="14"/>
  <c r="Q93" i="12"/>
  <c r="Q111" i="12"/>
  <c r="X40" i="12"/>
  <c r="X38" i="12"/>
  <c r="X86" i="12"/>
  <c r="O115" i="12"/>
  <c r="BP125" i="12"/>
  <c r="D34" i="14"/>
  <c r="Q122" i="12"/>
  <c r="AS56" i="12"/>
  <c r="BP124" i="12"/>
  <c r="BP74" i="12"/>
  <c r="W89" i="12"/>
  <c r="X60" i="12"/>
  <c r="X63" i="12"/>
  <c r="X36" i="12"/>
  <c r="X33" i="12"/>
  <c r="X78" i="12"/>
  <c r="T12" i="12"/>
  <c r="T42" i="12"/>
  <c r="X26" i="12"/>
  <c r="X22" i="12"/>
  <c r="Y8" i="12"/>
  <c r="U16" i="12"/>
  <c r="P130" i="12"/>
  <c r="P136" i="12"/>
  <c r="R93" i="12"/>
  <c r="R111" i="12"/>
  <c r="R114" i="12"/>
  <c r="S124" i="12"/>
  <c r="S125" i="12"/>
  <c r="S122" i="12"/>
  <c r="S95" i="12"/>
  <c r="AE53" i="12"/>
  <c r="AD49" i="12"/>
  <c r="S82" i="12"/>
  <c r="S74" i="12"/>
  <c r="S57" i="12"/>
  <c r="S58" i="12"/>
  <c r="S55" i="12"/>
  <c r="S104" i="12"/>
  <c r="T95" i="12"/>
  <c r="BP93" i="12"/>
  <c r="Y40" i="12"/>
  <c r="Y38" i="12"/>
  <c r="Y86" i="12"/>
  <c r="BP122" i="12"/>
  <c r="D16" i="14"/>
  <c r="Q114" i="12"/>
  <c r="AT56" i="12"/>
  <c r="AU56" i="12"/>
  <c r="X89" i="12"/>
  <c r="Y60" i="12"/>
  <c r="Y63" i="12"/>
  <c r="Y36" i="12"/>
  <c r="Y33" i="12"/>
  <c r="Y78" i="12"/>
  <c r="U12" i="12"/>
  <c r="U42" i="12"/>
  <c r="Y26" i="12"/>
  <c r="Y22" i="12"/>
  <c r="Z8" i="12"/>
  <c r="V16" i="12"/>
  <c r="BP108" i="12"/>
  <c r="D24" i="14"/>
  <c r="D12" i="14"/>
  <c r="AF53" i="12"/>
  <c r="AE49" i="12"/>
  <c r="S93" i="12"/>
  <c r="T82" i="12"/>
  <c r="T104" i="12"/>
  <c r="T74" i="12"/>
  <c r="T124" i="12"/>
  <c r="T125" i="12"/>
  <c r="T122" i="12"/>
  <c r="T57" i="12"/>
  <c r="T58" i="12"/>
  <c r="T55" i="12"/>
  <c r="BP112" i="12"/>
  <c r="Z40" i="12"/>
  <c r="Z38" i="12"/>
  <c r="Z86" i="12"/>
  <c r="R115" i="12"/>
  <c r="Q115" i="12"/>
  <c r="BP114" i="12"/>
  <c r="Q130" i="12"/>
  <c r="Q136" i="12"/>
  <c r="BP111" i="12"/>
  <c r="AV56" i="12"/>
  <c r="R130" i="12"/>
  <c r="R136" i="12"/>
  <c r="Y89" i="12"/>
  <c r="Z60" i="12"/>
  <c r="Z63" i="12"/>
  <c r="Z36" i="12"/>
  <c r="Z33" i="12"/>
  <c r="Z78" i="12"/>
  <c r="V12" i="12"/>
  <c r="V42" i="12"/>
  <c r="Z26" i="12"/>
  <c r="Z22" i="12"/>
  <c r="AA8" i="12"/>
  <c r="W16" i="12"/>
  <c r="S111" i="12"/>
  <c r="S114" i="12"/>
  <c r="S115" i="12"/>
  <c r="U57" i="12"/>
  <c r="U58" i="12"/>
  <c r="U55" i="12"/>
  <c r="U95" i="12"/>
  <c r="AG53" i="12"/>
  <c r="AF49" i="12"/>
  <c r="T93" i="12"/>
  <c r="T111" i="12"/>
  <c r="U124" i="12"/>
  <c r="U125" i="12"/>
  <c r="U122" i="12"/>
  <c r="U104" i="12"/>
  <c r="U82" i="12"/>
  <c r="U74" i="12"/>
  <c r="AA40" i="12"/>
  <c r="AA38" i="12"/>
  <c r="AA86" i="12"/>
  <c r="AW56" i="12"/>
  <c r="D26" i="14"/>
  <c r="D27" i="14"/>
  <c r="Z89" i="12"/>
  <c r="AA60" i="12"/>
  <c r="AA63" i="12"/>
  <c r="AA36" i="12"/>
  <c r="AA33" i="12"/>
  <c r="AA78" i="12"/>
  <c r="W12" i="12"/>
  <c r="W42" i="12"/>
  <c r="AA26" i="12"/>
  <c r="AA22" i="12"/>
  <c r="AB8" i="12"/>
  <c r="X16" i="12"/>
  <c r="S130" i="12"/>
  <c r="S136" i="12"/>
  <c r="V124" i="12"/>
  <c r="V125" i="12"/>
  <c r="V122" i="12"/>
  <c r="V95" i="12"/>
  <c r="AH53" i="12"/>
  <c r="AG49" i="12"/>
  <c r="U93" i="12"/>
  <c r="U111" i="12"/>
  <c r="V82" i="12"/>
  <c r="V104" i="12"/>
  <c r="V57" i="12"/>
  <c r="V58" i="12"/>
  <c r="V55" i="12"/>
  <c r="V74" i="12"/>
  <c r="AB40" i="12"/>
  <c r="AB38" i="12"/>
  <c r="AB86" i="12"/>
  <c r="AX56" i="12"/>
  <c r="AY56" i="12"/>
  <c r="T130" i="12"/>
  <c r="T136" i="12"/>
  <c r="T114" i="12"/>
  <c r="D28" i="14"/>
  <c r="AA89" i="12"/>
  <c r="AB60" i="12"/>
  <c r="AB63" i="12"/>
  <c r="AB36" i="12"/>
  <c r="AB33" i="12"/>
  <c r="AB78" i="12"/>
  <c r="X12" i="12"/>
  <c r="X42" i="12"/>
  <c r="AB26" i="12"/>
  <c r="AB22" i="12"/>
  <c r="AC8" i="12"/>
  <c r="Y16" i="12"/>
  <c r="W104" i="12"/>
  <c r="W95" i="12"/>
  <c r="AI53" i="12"/>
  <c r="AH49" i="12"/>
  <c r="W74" i="12"/>
  <c r="W57" i="12"/>
  <c r="W58" i="12"/>
  <c r="W55" i="12"/>
  <c r="W124" i="12"/>
  <c r="W125" i="12"/>
  <c r="W122" i="12"/>
  <c r="W82" i="12"/>
  <c r="V93" i="12"/>
  <c r="V111" i="12"/>
  <c r="AC40" i="12"/>
  <c r="AC38" i="12"/>
  <c r="BQ38" i="12"/>
  <c r="E10" i="14"/>
  <c r="AC86" i="12"/>
  <c r="BQ86" i="12"/>
  <c r="E22" i="14"/>
  <c r="T115" i="12"/>
  <c r="AZ56" i="12"/>
  <c r="U130" i="12"/>
  <c r="U136" i="12"/>
  <c r="U114" i="12"/>
  <c r="U115" i="12"/>
  <c r="BQ103" i="12"/>
  <c r="BQ102" i="12"/>
  <c r="BQ101" i="12"/>
  <c r="AB89" i="12"/>
  <c r="AC60" i="12"/>
  <c r="AC63" i="12"/>
  <c r="BQ63" i="12"/>
  <c r="E15" i="14"/>
  <c r="AC36" i="12"/>
  <c r="AC33" i="12"/>
  <c r="AC78" i="12"/>
  <c r="BQ49" i="12"/>
  <c r="Y12" i="12"/>
  <c r="Y42" i="12"/>
  <c r="AC26" i="12"/>
  <c r="AD8" i="12"/>
  <c r="Z16" i="12"/>
  <c r="V114" i="12"/>
  <c r="V115" i="12"/>
  <c r="X104" i="12"/>
  <c r="X95" i="12"/>
  <c r="AJ53" i="12"/>
  <c r="AI49" i="12"/>
  <c r="X82" i="12"/>
  <c r="W93" i="12"/>
  <c r="W111" i="12"/>
  <c r="X74" i="12"/>
  <c r="X124" i="12"/>
  <c r="X125" i="12"/>
  <c r="X122" i="12"/>
  <c r="X57" i="12"/>
  <c r="X58" i="12"/>
  <c r="X55" i="12"/>
  <c r="BQ60" i="12"/>
  <c r="E14" i="14"/>
  <c r="AD40" i="12"/>
  <c r="AD38" i="12"/>
  <c r="AD86" i="12"/>
  <c r="V130" i="12"/>
  <c r="V136" i="12"/>
  <c r="BA56" i="12"/>
  <c r="BQ78" i="12"/>
  <c r="AC89" i="12"/>
  <c r="AD60" i="12"/>
  <c r="AD63" i="12"/>
  <c r="AD36" i="12"/>
  <c r="AD33" i="12"/>
  <c r="AD78" i="12"/>
  <c r="Z12" i="12"/>
  <c r="Z42" i="12"/>
  <c r="AC22" i="12"/>
  <c r="BQ22" i="12"/>
  <c r="E8" i="14"/>
  <c r="AD26" i="12"/>
  <c r="AD22" i="12"/>
  <c r="AE8" i="12"/>
  <c r="AA16" i="12"/>
  <c r="W114" i="12"/>
  <c r="W115" i="12"/>
  <c r="Y82" i="12"/>
  <c r="Y95" i="12"/>
  <c r="AK53" i="12"/>
  <c r="AJ49" i="12"/>
  <c r="X93" i="12"/>
  <c r="X111" i="12"/>
  <c r="Y74" i="12"/>
  <c r="Y124" i="12"/>
  <c r="Y125" i="12"/>
  <c r="Y122" i="12"/>
  <c r="Y104" i="12"/>
  <c r="Y57" i="12"/>
  <c r="Y58" i="12"/>
  <c r="Y55" i="12"/>
  <c r="AE40" i="12"/>
  <c r="AE38" i="12"/>
  <c r="AE86" i="12"/>
  <c r="BQ89" i="12"/>
  <c r="E21" i="14"/>
  <c r="W130" i="12"/>
  <c r="W136" i="12"/>
  <c r="BB56" i="12"/>
  <c r="BC56" i="12"/>
  <c r="E17" i="14"/>
  <c r="AD89" i="12"/>
  <c r="AE60" i="12"/>
  <c r="AE63" i="12"/>
  <c r="AE36" i="12"/>
  <c r="AE33" i="12"/>
  <c r="AE78" i="12"/>
  <c r="AA12" i="12"/>
  <c r="AA42" i="12"/>
  <c r="AE26" i="12"/>
  <c r="AE22" i="12"/>
  <c r="AF8" i="12"/>
  <c r="AB16" i="12"/>
  <c r="Y93" i="12"/>
  <c r="Y111" i="12"/>
  <c r="Z104" i="12"/>
  <c r="Z95" i="12"/>
  <c r="AL53" i="12"/>
  <c r="AK49" i="12"/>
  <c r="X114" i="12"/>
  <c r="X115" i="12"/>
  <c r="X130" i="12"/>
  <c r="X136" i="12"/>
  <c r="Z57" i="12"/>
  <c r="Z58" i="12"/>
  <c r="Z55" i="12"/>
  <c r="Z74" i="12"/>
  <c r="Z124" i="12"/>
  <c r="Z125" i="12"/>
  <c r="Z122" i="12"/>
  <c r="Z82" i="12"/>
  <c r="AF40" i="12"/>
  <c r="AF38" i="12"/>
  <c r="AF86" i="12"/>
  <c r="BD56" i="12"/>
  <c r="AE89" i="12"/>
  <c r="AF60" i="12"/>
  <c r="AF63" i="12"/>
  <c r="AF36" i="12"/>
  <c r="AF33" i="12"/>
  <c r="AF78" i="12"/>
  <c r="AB12" i="12"/>
  <c r="AB42" i="12"/>
  <c r="AF26" i="12"/>
  <c r="AF22" i="12"/>
  <c r="AG8" i="12"/>
  <c r="AC16" i="12"/>
  <c r="Y114" i="12"/>
  <c r="Y115" i="12"/>
  <c r="AA104" i="12"/>
  <c r="AA95" i="12"/>
  <c r="AM53" i="12"/>
  <c r="AL49" i="12"/>
  <c r="AA74" i="12"/>
  <c r="Z93" i="12"/>
  <c r="Z111" i="12"/>
  <c r="AA57" i="12"/>
  <c r="AA58" i="12"/>
  <c r="AA55" i="12"/>
  <c r="AA124" i="12"/>
  <c r="AA125" i="12"/>
  <c r="AA122" i="12"/>
  <c r="AA82" i="12"/>
  <c r="AG40" i="12"/>
  <c r="AG38" i="12"/>
  <c r="AG86" i="12"/>
  <c r="Y130" i="12"/>
  <c r="Y136" i="12"/>
  <c r="BE56" i="12"/>
  <c r="AF89" i="12"/>
  <c r="AG60" i="12"/>
  <c r="AG63" i="12"/>
  <c r="AG36" i="12"/>
  <c r="AG33" i="12"/>
  <c r="AG78" i="12"/>
  <c r="AC12" i="12"/>
  <c r="AC42" i="12"/>
  <c r="AG26" i="12"/>
  <c r="AG22" i="12"/>
  <c r="AH8" i="12"/>
  <c r="AD16" i="12"/>
  <c r="AB104" i="12"/>
  <c r="AB95" i="12"/>
  <c r="AA93" i="12"/>
  <c r="AA111" i="12"/>
  <c r="AN53" i="12"/>
  <c r="AM49" i="12"/>
  <c r="AB74" i="12"/>
  <c r="AB57" i="12"/>
  <c r="AB58" i="12"/>
  <c r="AB55" i="12"/>
  <c r="AB124" i="12"/>
  <c r="AB125" i="12"/>
  <c r="AB122" i="12"/>
  <c r="AB82" i="12"/>
  <c r="AH40" i="12"/>
  <c r="AH38" i="12"/>
  <c r="AH86" i="12"/>
  <c r="BF56" i="12"/>
  <c r="BG56" i="12"/>
  <c r="Z130" i="12"/>
  <c r="Z136" i="12"/>
  <c r="Z114" i="12"/>
  <c r="Z115" i="12"/>
  <c r="AG89" i="12"/>
  <c r="AH60" i="12"/>
  <c r="AH63" i="12"/>
  <c r="BQ12" i="12"/>
  <c r="AH36" i="12"/>
  <c r="AH33" i="12"/>
  <c r="AH78" i="12"/>
  <c r="AD12" i="12"/>
  <c r="AD42" i="12"/>
  <c r="AH26" i="12"/>
  <c r="AH22" i="12"/>
  <c r="AI8" i="12"/>
  <c r="AE16" i="12"/>
  <c r="AC104" i="12"/>
  <c r="BQ104" i="12"/>
  <c r="AC95" i="12"/>
  <c r="BQ95" i="12"/>
  <c r="AO53" i="12"/>
  <c r="AN49" i="12"/>
  <c r="AB93" i="12"/>
  <c r="AB111" i="12"/>
  <c r="AC57" i="12"/>
  <c r="AC58" i="12"/>
  <c r="AC55" i="12"/>
  <c r="BQ55" i="12"/>
  <c r="E13" i="14"/>
  <c r="AC124" i="12"/>
  <c r="BQ124" i="12"/>
  <c r="AC74" i="12"/>
  <c r="AC82" i="12"/>
  <c r="BQ82" i="12"/>
  <c r="E19" i="14"/>
  <c r="AI40" i="12"/>
  <c r="AI38" i="12"/>
  <c r="AI86" i="12"/>
  <c r="E7" i="14"/>
  <c r="BH56" i="12"/>
  <c r="AA130" i="12"/>
  <c r="AA136" i="12"/>
  <c r="AA114" i="12"/>
  <c r="AA115" i="12"/>
  <c r="AH89" i="12"/>
  <c r="AI60" i="12"/>
  <c r="AI63" i="12"/>
  <c r="AI36" i="12"/>
  <c r="AI33" i="12"/>
  <c r="AI78" i="12"/>
  <c r="AE12" i="12"/>
  <c r="AE42" i="12"/>
  <c r="AI26" i="12"/>
  <c r="AI22" i="12"/>
  <c r="AJ8" i="12"/>
  <c r="BQ42" i="12"/>
  <c r="BQ33" i="12"/>
  <c r="E9" i="14"/>
  <c r="AF16" i="12"/>
  <c r="BQ74" i="12"/>
  <c r="E16" i="14"/>
  <c r="BS105" i="12"/>
  <c r="G23" i="14"/>
  <c r="AD104" i="12"/>
  <c r="AD95" i="12"/>
  <c r="AP53" i="12"/>
  <c r="AO49" i="12"/>
  <c r="AC125" i="12"/>
  <c r="AC122" i="12"/>
  <c r="BQ122" i="12"/>
  <c r="AD82" i="12"/>
  <c r="AD74" i="12"/>
  <c r="AD124" i="12"/>
  <c r="AD125" i="12"/>
  <c r="AD122" i="12"/>
  <c r="AD57" i="12"/>
  <c r="AD58" i="12"/>
  <c r="AD55" i="12"/>
  <c r="AC93" i="12"/>
  <c r="AJ40" i="12"/>
  <c r="AJ38" i="12"/>
  <c r="AJ86" i="12"/>
  <c r="E6" i="14"/>
  <c r="BQ43" i="12"/>
  <c r="BI56" i="12"/>
  <c r="AB130" i="12"/>
  <c r="AB136" i="12"/>
  <c r="AB114" i="12"/>
  <c r="AB115" i="12"/>
  <c r="AI89" i="12"/>
  <c r="AJ60" i="12"/>
  <c r="AJ63" i="12"/>
  <c r="AJ36" i="12"/>
  <c r="AJ33" i="12"/>
  <c r="AJ78" i="12"/>
  <c r="AF12" i="12"/>
  <c r="AF42" i="12"/>
  <c r="AJ26" i="12"/>
  <c r="AJ22" i="12"/>
  <c r="AK8" i="12"/>
  <c r="AG16" i="12"/>
  <c r="BQ125" i="12"/>
  <c r="E34" i="14"/>
  <c r="AC111" i="12"/>
  <c r="AC114" i="12"/>
  <c r="AC115" i="12"/>
  <c r="AE104" i="12"/>
  <c r="AE95" i="12"/>
  <c r="AQ53" i="12"/>
  <c r="AP49" i="12"/>
  <c r="AD93" i="12"/>
  <c r="BQ93" i="12"/>
  <c r="AE74" i="12"/>
  <c r="AE124" i="12"/>
  <c r="AE125" i="12"/>
  <c r="AE122" i="12"/>
  <c r="AE82" i="12"/>
  <c r="AE57" i="12"/>
  <c r="AE58" i="12"/>
  <c r="AE55" i="12"/>
  <c r="AK40" i="12"/>
  <c r="AK38" i="12"/>
  <c r="AK86" i="12"/>
  <c r="BJ56" i="12"/>
  <c r="BK56" i="12"/>
  <c r="AJ89" i="12"/>
  <c r="AK60" i="12"/>
  <c r="AK63" i="12"/>
  <c r="AK36" i="12"/>
  <c r="AK33" i="12"/>
  <c r="AK78" i="12"/>
  <c r="AG12" i="12"/>
  <c r="AG42" i="12"/>
  <c r="AK26" i="12"/>
  <c r="AK22" i="12"/>
  <c r="AL8" i="12"/>
  <c r="D59" i="14"/>
  <c r="AH16" i="12"/>
  <c r="BQ112" i="12"/>
  <c r="BQ108" i="12"/>
  <c r="E24" i="14"/>
  <c r="E12" i="14"/>
  <c r="E36" i="14"/>
  <c r="BQ111" i="12"/>
  <c r="BQ114" i="12"/>
  <c r="AC130" i="12"/>
  <c r="AC136" i="12"/>
  <c r="AD111" i="12"/>
  <c r="AD114" i="12"/>
  <c r="AD115" i="12"/>
  <c r="AF57" i="12"/>
  <c r="AF58" i="12"/>
  <c r="AF55" i="12"/>
  <c r="AF95" i="12"/>
  <c r="AR53" i="12"/>
  <c r="AQ49" i="12"/>
  <c r="AE93" i="12"/>
  <c r="AE111" i="12"/>
  <c r="AF74" i="12"/>
  <c r="AF124" i="12"/>
  <c r="AF125" i="12"/>
  <c r="AF122" i="12"/>
  <c r="AF82" i="12"/>
  <c r="AF104" i="12"/>
  <c r="AL40" i="12"/>
  <c r="AL38" i="12"/>
  <c r="AL86" i="12"/>
  <c r="BL56" i="12"/>
  <c r="AK89" i="12"/>
  <c r="AL60" i="12"/>
  <c r="AL63" i="12"/>
  <c r="AL36" i="12"/>
  <c r="AL33" i="12"/>
  <c r="AL78" i="12"/>
  <c r="AH12" i="12"/>
  <c r="AH42" i="12"/>
  <c r="AL26" i="12"/>
  <c r="AL22" i="12"/>
  <c r="AM8" i="12"/>
  <c r="AI16" i="12"/>
  <c r="BQ130" i="12"/>
  <c r="E42" i="14"/>
  <c r="AD130" i="12"/>
  <c r="AD136" i="12"/>
  <c r="AG82" i="12"/>
  <c r="AG95" i="12"/>
  <c r="AS53" i="12"/>
  <c r="AR49" i="12"/>
  <c r="E27" i="14"/>
  <c r="D60" i="14"/>
  <c r="E26" i="14"/>
  <c r="AE114" i="12"/>
  <c r="AE115" i="12"/>
  <c r="AE130" i="12"/>
  <c r="AE136" i="12"/>
  <c r="AF93" i="12"/>
  <c r="AF111" i="12"/>
  <c r="AG57" i="12"/>
  <c r="AG58" i="12"/>
  <c r="AG55" i="12"/>
  <c r="AG74" i="12"/>
  <c r="AG104" i="12"/>
  <c r="AG124" i="12"/>
  <c r="AG125" i="12"/>
  <c r="AG122" i="12"/>
  <c r="AM40" i="12"/>
  <c r="AM38" i="12"/>
  <c r="AM86" i="12"/>
  <c r="BM56" i="12"/>
  <c r="E40" i="14"/>
  <c r="BQ136" i="12"/>
  <c r="AL89" i="12"/>
  <c r="AM60" i="12"/>
  <c r="AM63" i="12"/>
  <c r="AM36" i="12"/>
  <c r="AM33" i="12"/>
  <c r="AM78" i="12"/>
  <c r="AI12" i="12"/>
  <c r="AI42" i="12"/>
  <c r="AM26" i="12"/>
  <c r="AM22" i="12"/>
  <c r="AN8" i="12"/>
  <c r="AJ16" i="12"/>
  <c r="AG93" i="12"/>
  <c r="AG111" i="12"/>
  <c r="AH104" i="12"/>
  <c r="AH95" i="12"/>
  <c r="E28" i="14"/>
  <c r="AT53" i="12"/>
  <c r="AS49" i="12"/>
  <c r="AH74" i="12"/>
  <c r="AH57" i="12"/>
  <c r="AH58" i="12"/>
  <c r="AH55" i="12"/>
  <c r="AH124" i="12"/>
  <c r="AH125" i="12"/>
  <c r="AH122" i="12"/>
  <c r="AH82" i="12"/>
  <c r="AN40" i="12"/>
  <c r="AN38" i="12"/>
  <c r="AN86" i="12"/>
  <c r="AF130" i="12"/>
  <c r="AF136" i="12"/>
  <c r="AF114" i="12"/>
  <c r="AM89" i="12"/>
  <c r="AN60" i="12"/>
  <c r="AN63" i="12"/>
  <c r="AN36" i="12"/>
  <c r="AN33" i="12"/>
  <c r="AN78" i="12"/>
  <c r="AJ12" i="12"/>
  <c r="AJ42" i="12"/>
  <c r="AN26" i="12"/>
  <c r="AN22" i="12"/>
  <c r="AO8" i="12"/>
  <c r="AK16" i="12"/>
  <c r="AG114" i="12"/>
  <c r="AG115" i="12"/>
  <c r="AI104" i="12"/>
  <c r="AI95" i="12"/>
  <c r="AU53" i="12"/>
  <c r="AT49" i="12"/>
  <c r="AH93" i="12"/>
  <c r="AI74" i="12"/>
  <c r="AI124" i="12"/>
  <c r="AI125" i="12"/>
  <c r="AI122" i="12"/>
  <c r="AI82" i="12"/>
  <c r="AI57" i="12"/>
  <c r="AI58" i="12"/>
  <c r="AI55" i="12"/>
  <c r="AO40" i="12"/>
  <c r="AO38" i="12"/>
  <c r="BR38" i="12"/>
  <c r="F10" i="14"/>
  <c r="AO86" i="12"/>
  <c r="BR86" i="12"/>
  <c r="F22" i="14"/>
  <c r="AF115" i="12"/>
  <c r="AG130" i="12"/>
  <c r="AG136" i="12"/>
  <c r="BR103" i="12"/>
  <c r="BR102" i="12"/>
  <c r="BR101" i="12"/>
  <c r="AN89" i="12"/>
  <c r="AO60" i="12"/>
  <c r="AO63" i="12"/>
  <c r="BR63" i="12"/>
  <c r="F15" i="14"/>
  <c r="AO36" i="12"/>
  <c r="AO33" i="12"/>
  <c r="AO78" i="12"/>
  <c r="BR49" i="12"/>
  <c r="AK12" i="12"/>
  <c r="AK42" i="12"/>
  <c r="AO26" i="12"/>
  <c r="AP8" i="12"/>
  <c r="AL16" i="12"/>
  <c r="AH111" i="12"/>
  <c r="AH114" i="12"/>
  <c r="AH115" i="12"/>
  <c r="AJ104" i="12"/>
  <c r="AJ95" i="12"/>
  <c r="AJ57" i="12"/>
  <c r="AJ58" i="12"/>
  <c r="AJ55" i="12"/>
  <c r="AV53" i="12"/>
  <c r="AU49" i="12"/>
  <c r="AJ124" i="12"/>
  <c r="AJ125" i="12"/>
  <c r="AJ122" i="12"/>
  <c r="AJ74" i="12"/>
  <c r="AI93" i="12"/>
  <c r="AI111" i="12"/>
  <c r="AJ82" i="12"/>
  <c r="BR60" i="12"/>
  <c r="F14" i="14"/>
  <c r="AP40" i="12"/>
  <c r="AP38" i="12"/>
  <c r="AP86" i="12"/>
  <c r="BR78" i="12"/>
  <c r="AO89" i="12"/>
  <c r="AP60" i="12"/>
  <c r="AP63" i="12"/>
  <c r="AP36" i="12"/>
  <c r="AP33" i="12"/>
  <c r="AP78" i="12"/>
  <c r="AL12" i="12"/>
  <c r="AL42" i="12"/>
  <c r="AO22" i="12"/>
  <c r="BR22" i="12"/>
  <c r="F8" i="14"/>
  <c r="AP26" i="12"/>
  <c r="AP22" i="12"/>
  <c r="AQ8" i="12"/>
  <c r="AM16" i="12"/>
  <c r="AH130" i="12"/>
  <c r="AH136" i="12"/>
  <c r="AK104" i="12"/>
  <c r="AK95" i="12"/>
  <c r="AW53" i="12"/>
  <c r="AV49" i="12"/>
  <c r="AJ93" i="12"/>
  <c r="AJ111" i="12"/>
  <c r="AK74" i="12"/>
  <c r="AK124" i="12"/>
  <c r="AK125" i="12"/>
  <c r="AK122" i="12"/>
  <c r="AK57" i="12"/>
  <c r="AK58" i="12"/>
  <c r="AK55" i="12"/>
  <c r="AK82" i="12"/>
  <c r="AQ40" i="12"/>
  <c r="AQ38" i="12"/>
  <c r="AQ86" i="12"/>
  <c r="BR89" i="12"/>
  <c r="F21" i="14"/>
  <c r="AI130" i="12"/>
  <c r="AI136" i="12"/>
  <c r="AI114" i="12"/>
  <c r="F17" i="14"/>
  <c r="AP89" i="12"/>
  <c r="AQ60" i="12"/>
  <c r="AQ63" i="12"/>
  <c r="AQ36" i="12"/>
  <c r="AQ33" i="12"/>
  <c r="AQ78" i="12"/>
  <c r="AM12" i="12"/>
  <c r="AM42" i="12"/>
  <c r="AQ26" i="12"/>
  <c r="AQ22" i="12"/>
  <c r="AR8" i="12"/>
  <c r="AN16" i="12"/>
  <c r="AJ114" i="12"/>
  <c r="AJ115" i="12"/>
  <c r="AL57" i="12"/>
  <c r="AL58" i="12"/>
  <c r="AL55" i="12"/>
  <c r="AL95" i="12"/>
  <c r="AX53" i="12"/>
  <c r="AW49" i="12"/>
  <c r="AL74" i="12"/>
  <c r="AL124" i="12"/>
  <c r="AL125" i="12"/>
  <c r="AL122" i="12"/>
  <c r="AK93" i="12"/>
  <c r="AL82" i="12"/>
  <c r="AL104" i="12"/>
  <c r="AR40" i="12"/>
  <c r="AR38" i="12"/>
  <c r="AR86" i="12"/>
  <c r="AI115" i="12"/>
  <c r="AJ130" i="12"/>
  <c r="AJ136" i="12"/>
  <c r="AQ89" i="12"/>
  <c r="AR60" i="12"/>
  <c r="AR63" i="12"/>
  <c r="AR36" i="12"/>
  <c r="AR33" i="12"/>
  <c r="AR78" i="12"/>
  <c r="AN12" i="12"/>
  <c r="AN42" i="12"/>
  <c r="AR26" i="12"/>
  <c r="AR22" i="12"/>
  <c r="AS8" i="12"/>
  <c r="AO16" i="12"/>
  <c r="AK111" i="12"/>
  <c r="AK114" i="12"/>
  <c r="AK115" i="12"/>
  <c r="AL93" i="12"/>
  <c r="AL111" i="12"/>
  <c r="AM104" i="12"/>
  <c r="AM95" i="12"/>
  <c r="AY53" i="12"/>
  <c r="AX49" i="12"/>
  <c r="AM57" i="12"/>
  <c r="AM58" i="12"/>
  <c r="AM55" i="12"/>
  <c r="AM74" i="12"/>
  <c r="AM82" i="12"/>
  <c r="AM124" i="12"/>
  <c r="AM125" i="12"/>
  <c r="AM122" i="12"/>
  <c r="AS40" i="12"/>
  <c r="AS38" i="12"/>
  <c r="AS86" i="12"/>
  <c r="AR89" i="12"/>
  <c r="AS60" i="12"/>
  <c r="AS63" i="12"/>
  <c r="AS36" i="12"/>
  <c r="AS33" i="12"/>
  <c r="AS78" i="12"/>
  <c r="AO12" i="12"/>
  <c r="AO42" i="12"/>
  <c r="AS26" i="12"/>
  <c r="AS22" i="12"/>
  <c r="AT8" i="12"/>
  <c r="AP16" i="12"/>
  <c r="AK130" i="12"/>
  <c r="AK136" i="12"/>
  <c r="AN104" i="12"/>
  <c r="AN95" i="12"/>
  <c r="AZ53" i="12"/>
  <c r="AY49" i="12"/>
  <c r="AN124" i="12"/>
  <c r="AN125" i="12"/>
  <c r="AN122" i="12"/>
  <c r="AM93" i="12"/>
  <c r="AM111" i="12"/>
  <c r="AN74" i="12"/>
  <c r="AN57" i="12"/>
  <c r="AN58" i="12"/>
  <c r="AN55" i="12"/>
  <c r="AN82" i="12"/>
  <c r="AT40" i="12"/>
  <c r="AT38" i="12"/>
  <c r="AT86" i="12"/>
  <c r="AL130" i="12"/>
  <c r="AL136" i="12"/>
  <c r="AL114" i="12"/>
  <c r="AL115" i="12"/>
  <c r="AS89" i="12"/>
  <c r="AT60" i="12"/>
  <c r="AT63" i="12"/>
  <c r="AT36" i="12"/>
  <c r="AT33" i="12"/>
  <c r="AT78" i="12"/>
  <c r="BR12" i="12"/>
  <c r="AP12" i="12"/>
  <c r="AP42" i="12"/>
  <c r="AT26" i="12"/>
  <c r="AT22" i="12"/>
  <c r="AU8" i="12"/>
  <c r="AQ16" i="12"/>
  <c r="AO82" i="12"/>
  <c r="AO95" i="12"/>
  <c r="BR95" i="12"/>
  <c r="BA53" i="12"/>
  <c r="AZ49" i="12"/>
  <c r="AN93" i="12"/>
  <c r="AN111" i="12"/>
  <c r="AO57" i="12"/>
  <c r="AO58" i="12"/>
  <c r="AO55" i="12"/>
  <c r="BR55" i="12"/>
  <c r="F13" i="14"/>
  <c r="AO74" i="12"/>
  <c r="AO104" i="12"/>
  <c r="BR104" i="12"/>
  <c r="AO124" i="12"/>
  <c r="BR124" i="12"/>
  <c r="AU40" i="12"/>
  <c r="AU38" i="12"/>
  <c r="AU86" i="12"/>
  <c r="BR82" i="12"/>
  <c r="F19" i="14"/>
  <c r="F7" i="14"/>
  <c r="AM130" i="12"/>
  <c r="AM136" i="12"/>
  <c r="AM114" i="12"/>
  <c r="AM115" i="12"/>
  <c r="AT89" i="12"/>
  <c r="AU60" i="12"/>
  <c r="AU63" i="12"/>
  <c r="AU36" i="12"/>
  <c r="AU33" i="12"/>
  <c r="AU78" i="12"/>
  <c r="AQ12" i="12"/>
  <c r="AQ42" i="12"/>
  <c r="AU26" i="12"/>
  <c r="AU22" i="12"/>
  <c r="AV8" i="12"/>
  <c r="BR42" i="12"/>
  <c r="BR33" i="12"/>
  <c r="F9" i="14"/>
  <c r="AR16" i="12"/>
  <c r="BR74" i="12"/>
  <c r="BO105" i="12"/>
  <c r="BT105" i="12"/>
  <c r="AO93" i="12"/>
  <c r="BR93" i="12"/>
  <c r="BR108" i="12"/>
  <c r="AP57" i="12"/>
  <c r="AP58" i="12"/>
  <c r="AP55" i="12"/>
  <c r="AP95" i="12"/>
  <c r="BB53" i="12"/>
  <c r="BA49" i="12"/>
  <c r="AO125" i="12"/>
  <c r="AO122" i="12"/>
  <c r="BR122" i="12"/>
  <c r="AP74" i="12"/>
  <c r="AP124" i="12"/>
  <c r="AP125" i="12"/>
  <c r="AP122" i="12"/>
  <c r="AP104" i="12"/>
  <c r="AP82" i="12"/>
  <c r="AV40" i="12"/>
  <c r="AV38" i="12"/>
  <c r="AV86" i="12"/>
  <c r="F6" i="14"/>
  <c r="F16" i="14"/>
  <c r="BR43" i="12"/>
  <c r="AN130" i="12"/>
  <c r="AN136" i="12"/>
  <c r="AN114" i="12"/>
  <c r="AN115" i="12"/>
  <c r="AU89" i="12"/>
  <c r="AV60" i="12"/>
  <c r="AV63" i="12"/>
  <c r="AV36" i="12"/>
  <c r="AV33" i="12"/>
  <c r="AV78" i="12"/>
  <c r="AR12" i="12"/>
  <c r="AR42" i="12"/>
  <c r="AV26" i="12"/>
  <c r="AV22" i="12"/>
  <c r="AW8" i="12"/>
  <c r="AS16" i="12"/>
  <c r="AP93" i="12"/>
  <c r="AP111" i="12"/>
  <c r="AP114" i="12"/>
  <c r="AO111" i="12"/>
  <c r="AO114" i="12"/>
  <c r="AO115" i="12"/>
  <c r="BU105" i="12"/>
  <c r="I23" i="14"/>
  <c r="H23" i="14"/>
  <c r="AQ104" i="12"/>
  <c r="AQ95" i="12"/>
  <c r="BC53" i="12"/>
  <c r="BB49" i="12"/>
  <c r="BR125" i="12"/>
  <c r="F34" i="14"/>
  <c r="AQ57" i="12"/>
  <c r="AQ58" i="12"/>
  <c r="AQ55" i="12"/>
  <c r="AQ82" i="12"/>
  <c r="AQ74" i="12"/>
  <c r="AQ124" i="12"/>
  <c r="AQ125" i="12"/>
  <c r="AQ122" i="12"/>
  <c r="BR112" i="12"/>
  <c r="F24" i="14"/>
  <c r="F12" i="14"/>
  <c r="AW40" i="12"/>
  <c r="AW38" i="12"/>
  <c r="AW86" i="12"/>
  <c r="AV89" i="12"/>
  <c r="AW60" i="12"/>
  <c r="AW63" i="12"/>
  <c r="AW36" i="12"/>
  <c r="AW33" i="12"/>
  <c r="AW78" i="12"/>
  <c r="AS12" i="12"/>
  <c r="AS42" i="12"/>
  <c r="AW26" i="12"/>
  <c r="AW22" i="12"/>
  <c r="AX8" i="12"/>
  <c r="AT16" i="12"/>
  <c r="BR114" i="12"/>
  <c r="BR111" i="12"/>
  <c r="F26" i="14"/>
  <c r="AO130" i="12"/>
  <c r="AO136" i="12"/>
  <c r="AR57" i="12"/>
  <c r="AR58" i="12"/>
  <c r="AR55" i="12"/>
  <c r="AR95" i="12"/>
  <c r="BD53" i="12"/>
  <c r="BC49" i="12"/>
  <c r="F36" i="14"/>
  <c r="AR74" i="12"/>
  <c r="AQ93" i="12"/>
  <c r="AQ111" i="12"/>
  <c r="AR124" i="12"/>
  <c r="AR125" i="12"/>
  <c r="AR122" i="12"/>
  <c r="AR82" i="12"/>
  <c r="AR104" i="12"/>
  <c r="AX40" i="12"/>
  <c r="AX38" i="12"/>
  <c r="AX86" i="12"/>
  <c r="AP115" i="12"/>
  <c r="AP130" i="12"/>
  <c r="AP136" i="12"/>
  <c r="F27" i="14"/>
  <c r="AW89" i="12"/>
  <c r="AX60" i="12"/>
  <c r="AX63" i="12"/>
  <c r="AX36" i="12"/>
  <c r="AX33" i="12"/>
  <c r="AX78" i="12"/>
  <c r="AT12" i="12"/>
  <c r="AT42" i="12"/>
  <c r="AX26" i="12"/>
  <c r="AX22" i="12"/>
  <c r="AY8" i="12"/>
  <c r="AU16" i="12"/>
  <c r="BR130" i="12"/>
  <c r="F42" i="14"/>
  <c r="AQ114" i="12"/>
  <c r="AQ115" i="12"/>
  <c r="AR93" i="12"/>
  <c r="AR111" i="12"/>
  <c r="AS104" i="12"/>
  <c r="AS95" i="12"/>
  <c r="BE53" i="12"/>
  <c r="BD49" i="12"/>
  <c r="AS74" i="12"/>
  <c r="AQ130" i="12"/>
  <c r="AQ136" i="12"/>
  <c r="AS124" i="12"/>
  <c r="AS125" i="12"/>
  <c r="AS122" i="12"/>
  <c r="AS57" i="12"/>
  <c r="AS58" i="12"/>
  <c r="AS55" i="12"/>
  <c r="AS82" i="12"/>
  <c r="AY40" i="12"/>
  <c r="AY38" i="12"/>
  <c r="AY86" i="12"/>
  <c r="F40" i="14"/>
  <c r="BR136" i="12"/>
  <c r="F28" i="14"/>
  <c r="AX89" i="12"/>
  <c r="AY60" i="12"/>
  <c r="AY63" i="12"/>
  <c r="AY36" i="12"/>
  <c r="AY33" i="12"/>
  <c r="AY78" i="12"/>
  <c r="AU12" i="12"/>
  <c r="AU42" i="12"/>
  <c r="AY26" i="12"/>
  <c r="AY22" i="12"/>
  <c r="AZ8" i="12"/>
  <c r="AV16" i="12"/>
  <c r="AR114" i="12"/>
  <c r="AR115" i="12"/>
  <c r="AT104" i="12"/>
  <c r="AT95" i="12"/>
  <c r="BF53" i="12"/>
  <c r="BE49" i="12"/>
  <c r="AS93" i="12"/>
  <c r="AT57" i="12"/>
  <c r="AT58" i="12"/>
  <c r="AT55" i="12"/>
  <c r="AT74" i="12"/>
  <c r="AT82" i="12"/>
  <c r="AT124" i="12"/>
  <c r="AT125" i="12"/>
  <c r="AT122" i="12"/>
  <c r="AZ40" i="12"/>
  <c r="AZ38" i="12"/>
  <c r="AZ86" i="12"/>
  <c r="AR130" i="12"/>
  <c r="AR136" i="12"/>
  <c r="AY89" i="12"/>
  <c r="AZ60" i="12"/>
  <c r="AZ63" i="12"/>
  <c r="AZ36" i="12"/>
  <c r="AZ33" i="12"/>
  <c r="AZ78" i="12"/>
  <c r="AV12" i="12"/>
  <c r="AV42" i="12"/>
  <c r="AZ26" i="12"/>
  <c r="AZ22" i="12"/>
  <c r="BA8" i="12"/>
  <c r="AW16" i="12"/>
  <c r="AS111" i="12"/>
  <c r="AS130" i="12"/>
  <c r="AS136" i="12"/>
  <c r="AU104" i="12"/>
  <c r="AU95" i="12"/>
  <c r="BG53" i="12"/>
  <c r="BF49" i="12"/>
  <c r="AT93" i="12"/>
  <c r="AT111" i="12"/>
  <c r="AU57" i="12"/>
  <c r="AU58" i="12"/>
  <c r="AU55" i="12"/>
  <c r="AU124" i="12"/>
  <c r="AU125" i="12"/>
  <c r="AU122" i="12"/>
  <c r="AU74" i="12"/>
  <c r="AU82" i="12"/>
  <c r="BA40" i="12"/>
  <c r="BA38" i="12"/>
  <c r="BS38" i="12"/>
  <c r="G10" i="14"/>
  <c r="BA86" i="12"/>
  <c r="BS86" i="12"/>
  <c r="G22" i="14"/>
  <c r="BS103" i="12"/>
  <c r="BS102" i="12"/>
  <c r="BS101" i="12"/>
  <c r="AZ89" i="12"/>
  <c r="BA60" i="12"/>
  <c r="BA63" i="12"/>
  <c r="BS63" i="12"/>
  <c r="G15" i="14"/>
  <c r="BA36" i="12"/>
  <c r="BA33" i="12"/>
  <c r="BA78" i="12"/>
  <c r="BS49" i="12"/>
  <c r="AW12" i="12"/>
  <c r="AW42" i="12"/>
  <c r="BA26" i="12"/>
  <c r="BB8" i="12"/>
  <c r="AX16" i="12"/>
  <c r="AS114" i="12"/>
  <c r="AS115" i="12"/>
  <c r="AV104" i="12"/>
  <c r="AV95" i="12"/>
  <c r="BH53" i="12"/>
  <c r="BG49" i="12"/>
  <c r="AU93" i="12"/>
  <c r="AU111" i="12"/>
  <c r="AV74" i="12"/>
  <c r="AV57" i="12"/>
  <c r="AV58" i="12"/>
  <c r="AV55" i="12"/>
  <c r="AV124" i="12"/>
  <c r="AV125" i="12"/>
  <c r="AV122" i="12"/>
  <c r="AV82" i="12"/>
  <c r="BS60" i="12"/>
  <c r="G14" i="14"/>
  <c r="BB40" i="12"/>
  <c r="BB38" i="12"/>
  <c r="BB86" i="12"/>
  <c r="AT130" i="12"/>
  <c r="AT136" i="12"/>
  <c r="AT114" i="12"/>
  <c r="BS78" i="12"/>
  <c r="BA89" i="12"/>
  <c r="BB60" i="12"/>
  <c r="BB63" i="12"/>
  <c r="BB36" i="12"/>
  <c r="BB33" i="12"/>
  <c r="BB78" i="12"/>
  <c r="BA22" i="12"/>
  <c r="BS22" i="12"/>
  <c r="G8" i="14"/>
  <c r="AX12" i="12"/>
  <c r="AX42" i="12"/>
  <c r="BB26" i="12"/>
  <c r="BB22" i="12"/>
  <c r="BC8" i="12"/>
  <c r="AY16" i="12"/>
  <c r="AV93" i="12"/>
  <c r="AV111" i="12"/>
  <c r="AV114" i="12"/>
  <c r="AV115" i="12"/>
  <c r="AW104" i="12"/>
  <c r="AW95" i="12"/>
  <c r="BI53" i="12"/>
  <c r="BH49" i="12"/>
  <c r="AW124" i="12"/>
  <c r="AW125" i="12"/>
  <c r="AW122" i="12"/>
  <c r="AW82" i="12"/>
  <c r="AW74" i="12"/>
  <c r="AW57" i="12"/>
  <c r="AW58" i="12"/>
  <c r="AW55" i="12"/>
  <c r="BC40" i="12"/>
  <c r="BC38" i="12"/>
  <c r="BC86" i="12"/>
  <c r="BS89" i="12"/>
  <c r="G21" i="14"/>
  <c r="AT115" i="12"/>
  <c r="AU130" i="12"/>
  <c r="AU136" i="12"/>
  <c r="AU114" i="12"/>
  <c r="AU115" i="12"/>
  <c r="G17" i="14"/>
  <c r="BB89" i="12"/>
  <c r="BC60" i="12"/>
  <c r="BC63" i="12"/>
  <c r="BC36" i="12"/>
  <c r="BC33" i="12"/>
  <c r="BC78" i="12"/>
  <c r="AY12" i="12"/>
  <c r="AY42" i="12"/>
  <c r="BC26" i="12"/>
  <c r="BC22" i="12"/>
  <c r="BD8" i="12"/>
  <c r="AZ16" i="12"/>
  <c r="AX104" i="12"/>
  <c r="AX95" i="12"/>
  <c r="BJ53" i="12"/>
  <c r="BI49" i="12"/>
  <c r="AW93" i="12"/>
  <c r="AW111" i="12"/>
  <c r="AX82" i="12"/>
  <c r="AX74" i="12"/>
  <c r="AX124" i="12"/>
  <c r="AX125" i="12"/>
  <c r="AX122" i="12"/>
  <c r="AX57" i="12"/>
  <c r="AX58" i="12"/>
  <c r="AX55" i="12"/>
  <c r="BD40" i="12"/>
  <c r="BD38" i="12"/>
  <c r="BD86" i="12"/>
  <c r="AV130" i="12"/>
  <c r="AV136" i="12"/>
  <c r="BC89" i="12"/>
  <c r="BD60" i="12"/>
  <c r="BD63" i="12"/>
  <c r="BD36" i="12"/>
  <c r="BD33" i="12"/>
  <c r="BD78" i="12"/>
  <c r="AZ12" i="12"/>
  <c r="AZ42" i="12"/>
  <c r="BD26" i="12"/>
  <c r="BD22" i="12"/>
  <c r="BE8" i="12"/>
  <c r="BA16" i="12"/>
  <c r="AY104" i="12"/>
  <c r="AY95" i="12"/>
  <c r="BK53" i="12"/>
  <c r="BJ49" i="12"/>
  <c r="AY57" i="12"/>
  <c r="AY58" i="12"/>
  <c r="AY55" i="12"/>
  <c r="AX93" i="12"/>
  <c r="AX111" i="12"/>
  <c r="AY124" i="12"/>
  <c r="AY125" i="12"/>
  <c r="AY122" i="12"/>
  <c r="AY82" i="12"/>
  <c r="AY74" i="12"/>
  <c r="BE40" i="12"/>
  <c r="BE38" i="12"/>
  <c r="BE86" i="12"/>
  <c r="AW130" i="12"/>
  <c r="AW136" i="12"/>
  <c r="AW114" i="12"/>
  <c r="AW115" i="12"/>
  <c r="BD89" i="12"/>
  <c r="BE60" i="12"/>
  <c r="BE63" i="12"/>
  <c r="BE36" i="12"/>
  <c r="BE33" i="12"/>
  <c r="BE78" i="12"/>
  <c r="BA12" i="12"/>
  <c r="BA42" i="12"/>
  <c r="BE26" i="12"/>
  <c r="BE22" i="12"/>
  <c r="BF8" i="12"/>
  <c r="BB16" i="12"/>
  <c r="AX114" i="12"/>
  <c r="AX115" i="12"/>
  <c r="AZ104" i="12"/>
  <c r="AZ95" i="12"/>
  <c r="BL53" i="12"/>
  <c r="BK49" i="12"/>
  <c r="AZ124" i="12"/>
  <c r="AZ125" i="12"/>
  <c r="AZ122" i="12"/>
  <c r="AY93" i="12"/>
  <c r="AY111" i="12"/>
  <c r="AZ74" i="12"/>
  <c r="AZ82" i="12"/>
  <c r="AZ57" i="12"/>
  <c r="AZ58" i="12"/>
  <c r="AZ55" i="12"/>
  <c r="BF40" i="12"/>
  <c r="BF38" i="12"/>
  <c r="BF86" i="12"/>
  <c r="AX130" i="12"/>
  <c r="AX136" i="12"/>
  <c r="BE89" i="12"/>
  <c r="BF60" i="12"/>
  <c r="BF63" i="12"/>
  <c r="BS12" i="12"/>
  <c r="BF36" i="12"/>
  <c r="BF33" i="12"/>
  <c r="BF78" i="12"/>
  <c r="BB12" i="12"/>
  <c r="BB42" i="12"/>
  <c r="BF26" i="12"/>
  <c r="BF22" i="12"/>
  <c r="BG8" i="12"/>
  <c r="BC16" i="12"/>
  <c r="AY114" i="12"/>
  <c r="AY115" i="12"/>
  <c r="BA124" i="12"/>
  <c r="BA125" i="12"/>
  <c r="BA95" i="12"/>
  <c r="BS95" i="12"/>
  <c r="BM53" i="12"/>
  <c r="BM49" i="12"/>
  <c r="BL49" i="12"/>
  <c r="BA57" i="12"/>
  <c r="BA58" i="12"/>
  <c r="BA55" i="12"/>
  <c r="BS55" i="12"/>
  <c r="G13" i="14"/>
  <c r="AZ93" i="12"/>
  <c r="AZ111" i="12"/>
  <c r="AY130" i="12"/>
  <c r="AY136" i="12"/>
  <c r="BA74" i="12"/>
  <c r="BA82" i="12"/>
  <c r="BS82" i="12"/>
  <c r="G19" i="14"/>
  <c r="BA104" i="12"/>
  <c r="BS104" i="12"/>
  <c r="BG40" i="12"/>
  <c r="BG38" i="12"/>
  <c r="BG86" i="12"/>
  <c r="G7" i="14"/>
  <c r="BF89" i="12"/>
  <c r="BG60" i="12"/>
  <c r="BG63" i="12"/>
  <c r="BG36" i="12"/>
  <c r="BG33" i="12"/>
  <c r="BG78" i="12"/>
  <c r="BC12" i="12"/>
  <c r="BC42" i="12"/>
  <c r="BG26" i="12"/>
  <c r="BG22" i="12"/>
  <c r="BH8" i="12"/>
  <c r="BS42" i="12"/>
  <c r="BS33" i="12"/>
  <c r="G9" i="14"/>
  <c r="BD16" i="12"/>
  <c r="BS74" i="12"/>
  <c r="G16" i="14"/>
  <c r="BS124" i="12"/>
  <c r="BB82" i="12"/>
  <c r="BB95" i="12"/>
  <c r="BO49" i="12"/>
  <c r="BA93" i="12"/>
  <c r="BA111" i="12"/>
  <c r="BB74" i="12"/>
  <c r="BB124" i="12"/>
  <c r="BB125" i="12"/>
  <c r="BB122" i="12"/>
  <c r="BB57" i="12"/>
  <c r="BB58" i="12"/>
  <c r="BB55" i="12"/>
  <c r="BB104" i="12"/>
  <c r="BH40" i="12"/>
  <c r="BH38" i="12"/>
  <c r="BH86" i="12"/>
  <c r="G6" i="14"/>
  <c r="BS43" i="12"/>
  <c r="BS125" i="12"/>
  <c r="G34" i="14"/>
  <c r="BA122" i="12"/>
  <c r="BS122" i="12"/>
  <c r="AZ130" i="12"/>
  <c r="AZ136" i="12"/>
  <c r="AZ114" i="12"/>
  <c r="AZ115" i="12"/>
  <c r="BG89" i="12"/>
  <c r="BH60" i="12"/>
  <c r="BH63" i="12"/>
  <c r="BH36" i="12"/>
  <c r="BH33" i="12"/>
  <c r="BH78" i="12"/>
  <c r="BD12" i="12"/>
  <c r="BD42" i="12"/>
  <c r="BH26" i="12"/>
  <c r="BH22" i="12"/>
  <c r="BI8" i="12"/>
  <c r="BE16" i="12"/>
  <c r="BB93" i="12"/>
  <c r="BB111" i="12"/>
  <c r="BB130" i="12"/>
  <c r="BA114" i="12"/>
  <c r="BA115" i="12"/>
  <c r="BC104" i="12"/>
  <c r="BC95" i="12"/>
  <c r="BC124" i="12"/>
  <c r="BC125" i="12"/>
  <c r="BC122" i="12"/>
  <c r="BC74" i="12"/>
  <c r="BS93" i="12"/>
  <c r="BC57" i="12"/>
  <c r="BC58" i="12"/>
  <c r="BC55" i="12"/>
  <c r="BC82" i="12"/>
  <c r="BI40" i="12"/>
  <c r="BI38" i="12"/>
  <c r="BI86" i="12"/>
  <c r="BS111" i="12"/>
  <c r="BA130" i="12"/>
  <c r="BH89" i="12"/>
  <c r="BI60" i="12"/>
  <c r="BI63" i="12"/>
  <c r="BI36" i="12"/>
  <c r="BI33" i="12"/>
  <c r="BI78" i="12"/>
  <c r="BE12" i="12"/>
  <c r="BE42" i="12"/>
  <c r="BI26" i="12"/>
  <c r="BI22" i="12"/>
  <c r="BJ8" i="12"/>
  <c r="BF16" i="12"/>
  <c r="BS108" i="12"/>
  <c r="G24" i="14"/>
  <c r="G12" i="14"/>
  <c r="BS114" i="12"/>
  <c r="BD104" i="12"/>
  <c r="BD95" i="12"/>
  <c r="BC93" i="12"/>
  <c r="BS112" i="12"/>
  <c r="BB114" i="12"/>
  <c r="BB115" i="12"/>
  <c r="BD74" i="12"/>
  <c r="BD82" i="12"/>
  <c r="BD124" i="12"/>
  <c r="BD125" i="12"/>
  <c r="BD122" i="12"/>
  <c r="BD57" i="12"/>
  <c r="BD58" i="12"/>
  <c r="BD55" i="12"/>
  <c r="BJ40" i="12"/>
  <c r="BJ38" i="12"/>
  <c r="BJ86" i="12"/>
  <c r="BB136" i="12"/>
  <c r="BA136" i="12"/>
  <c r="BS130" i="12"/>
  <c r="BI89" i="12"/>
  <c r="BJ60" i="12"/>
  <c r="BJ63" i="12"/>
  <c r="BJ36" i="12"/>
  <c r="BJ33" i="12"/>
  <c r="BJ78" i="12"/>
  <c r="BF12" i="12"/>
  <c r="BF42" i="12"/>
  <c r="BJ26" i="12"/>
  <c r="BJ22" i="12"/>
  <c r="BK8" i="12"/>
  <c r="BG16" i="12"/>
  <c r="G36" i="14"/>
  <c r="G40" i="14"/>
  <c r="G26" i="14"/>
  <c r="G27" i="14"/>
  <c r="G28" i="14"/>
  <c r="BC111" i="12"/>
  <c r="BC114" i="12"/>
  <c r="BC115" i="12"/>
  <c r="BE104" i="12"/>
  <c r="BE95" i="12"/>
  <c r="BD93" i="12"/>
  <c r="BE57" i="12"/>
  <c r="BE58" i="12"/>
  <c r="BE55" i="12"/>
  <c r="BE74" i="12"/>
  <c r="BE124" i="12"/>
  <c r="BE125" i="12"/>
  <c r="BE122" i="12"/>
  <c r="BE82" i="12"/>
  <c r="BK40" i="12"/>
  <c r="BK38" i="12"/>
  <c r="BK86" i="12"/>
  <c r="BS136" i="12"/>
  <c r="BJ89" i="12"/>
  <c r="BK60" i="12"/>
  <c r="BK63" i="12"/>
  <c r="BK36" i="12"/>
  <c r="BK33" i="12"/>
  <c r="BK78" i="12"/>
  <c r="BG12" i="12"/>
  <c r="BG42" i="12"/>
  <c r="BK26" i="12"/>
  <c r="BK22" i="12"/>
  <c r="BL8" i="12"/>
  <c r="BH16" i="12"/>
  <c r="G42" i="14"/>
  <c r="BC130" i="12"/>
  <c r="BC136" i="12"/>
  <c r="BD111" i="12"/>
  <c r="BD114" i="12"/>
  <c r="BD115" i="12"/>
  <c r="BF104" i="12"/>
  <c r="BF95" i="12"/>
  <c r="BE93" i="12"/>
  <c r="BE111" i="12"/>
  <c r="BF124" i="12"/>
  <c r="BF125" i="12"/>
  <c r="BF122" i="12"/>
  <c r="BF57" i="12"/>
  <c r="BF58" i="12"/>
  <c r="BF55" i="12"/>
  <c r="BF74" i="12"/>
  <c r="BF82" i="12"/>
  <c r="BL40" i="12"/>
  <c r="BL38" i="12"/>
  <c r="BL86" i="12"/>
  <c r="BK89" i="12"/>
  <c r="BL60" i="12"/>
  <c r="BL63" i="12"/>
  <c r="BL36" i="12"/>
  <c r="BL33" i="12"/>
  <c r="BL78" i="12"/>
  <c r="BH12" i="12"/>
  <c r="BH42" i="12"/>
  <c r="BL26" i="12"/>
  <c r="BL22" i="12"/>
  <c r="BM8" i="12"/>
  <c r="BI16" i="12"/>
  <c r="BD130" i="12"/>
  <c r="BD136" i="12"/>
  <c r="BG104" i="12"/>
  <c r="BG95" i="12"/>
  <c r="BF93" i="12"/>
  <c r="BF111" i="12"/>
  <c r="BG57" i="12"/>
  <c r="BG58" i="12"/>
  <c r="BG55" i="12"/>
  <c r="BG74" i="12"/>
  <c r="BG124" i="12"/>
  <c r="BG125" i="12"/>
  <c r="BG122" i="12"/>
  <c r="BG82" i="12"/>
  <c r="BM40" i="12"/>
  <c r="BM38" i="12"/>
  <c r="BT38" i="12"/>
  <c r="H10" i="14"/>
  <c r="BM86" i="12"/>
  <c r="BE130" i="12"/>
  <c r="BE136" i="12"/>
  <c r="BE114" i="12"/>
  <c r="BL89" i="12"/>
  <c r="BM63" i="12"/>
  <c r="BT49" i="12"/>
  <c r="BM60" i="12"/>
  <c r="BI12" i="12"/>
  <c r="BI42" i="12"/>
  <c r="BM26" i="12"/>
  <c r="BM36" i="12"/>
  <c r="BJ16" i="12"/>
  <c r="BF114" i="12"/>
  <c r="BF115" i="12"/>
  <c r="BH104" i="12"/>
  <c r="BH95" i="12"/>
  <c r="BH57" i="12"/>
  <c r="BH58" i="12"/>
  <c r="BH55" i="12"/>
  <c r="BH82" i="12"/>
  <c r="BG93" i="12"/>
  <c r="BH74" i="12"/>
  <c r="BH124" i="12"/>
  <c r="BH125" i="12"/>
  <c r="BH122" i="12"/>
  <c r="BU38" i="12"/>
  <c r="I10" i="14"/>
  <c r="AD10" i="14"/>
  <c r="BO86" i="12"/>
  <c r="BT86" i="12"/>
  <c r="BU86" i="12"/>
  <c r="BU49" i="12"/>
  <c r="BE115" i="12"/>
  <c r="BF130" i="12"/>
  <c r="BF136" i="12"/>
  <c r="BT101" i="12"/>
  <c r="BU101" i="12"/>
  <c r="BO102" i="12"/>
  <c r="BT102" i="12"/>
  <c r="BU102" i="12"/>
  <c r="BT103" i="12"/>
  <c r="BU103" i="12"/>
  <c r="BM33" i="12"/>
  <c r="BM22" i="12"/>
  <c r="BO22" i="12"/>
  <c r="BT60" i="12"/>
  <c r="BU60" i="12"/>
  <c r="I14" i="14"/>
  <c r="AD14" i="14"/>
  <c r="BO60" i="12"/>
  <c r="BT63" i="12"/>
  <c r="BO63" i="12"/>
  <c r="BJ12" i="12"/>
  <c r="BJ42" i="12"/>
  <c r="BK16" i="12"/>
  <c r="BJ95" i="12"/>
  <c r="BG111" i="12"/>
  <c r="BG114" i="12"/>
  <c r="BG115" i="12"/>
  <c r="BO33" i="12"/>
  <c r="BM78" i="12"/>
  <c r="BO78" i="12"/>
  <c r="BI104" i="12"/>
  <c r="BI95" i="12"/>
  <c r="BI74" i="12"/>
  <c r="BI124" i="12"/>
  <c r="BI125" i="12"/>
  <c r="BI122" i="12"/>
  <c r="BI57" i="12"/>
  <c r="BI58" i="12"/>
  <c r="BI55" i="12"/>
  <c r="BH93" i="12"/>
  <c r="BI82" i="12"/>
  <c r="BJ82" i="12"/>
  <c r="BJ104" i="12"/>
  <c r="BJ57" i="12"/>
  <c r="BJ58" i="12"/>
  <c r="BJ55" i="12"/>
  <c r="H14" i="14"/>
  <c r="BM89" i="12"/>
  <c r="BT22" i="12"/>
  <c r="BU22" i="12"/>
  <c r="I8" i="14"/>
  <c r="AD8" i="14"/>
  <c r="BJ124" i="12"/>
  <c r="BU63" i="12"/>
  <c r="I15" i="14"/>
  <c r="AD15" i="14"/>
  <c r="H15" i="14"/>
  <c r="H22" i="14"/>
  <c r="I22" i="14"/>
  <c r="AD22" i="14"/>
  <c r="BJ74" i="12"/>
  <c r="BK12" i="12"/>
  <c r="BK42" i="12"/>
  <c r="BL16" i="12"/>
  <c r="BG130" i="12"/>
  <c r="BG136" i="12"/>
  <c r="BH111" i="12"/>
  <c r="BH114" i="12"/>
  <c r="BH115" i="12"/>
  <c r="BI93" i="12"/>
  <c r="BJ125" i="12"/>
  <c r="BJ122" i="12"/>
  <c r="BT89" i="12"/>
  <c r="BU89" i="12"/>
  <c r="I21" i="14"/>
  <c r="AD21" i="14"/>
  <c r="BJ93" i="12"/>
  <c r="BJ111" i="12"/>
  <c r="BO89" i="12"/>
  <c r="H8" i="14"/>
  <c r="BT78" i="12"/>
  <c r="H17" i="14"/>
  <c r="BL12" i="12"/>
  <c r="BL42" i="12"/>
  <c r="BM16" i="12"/>
  <c r="BH130" i="12"/>
  <c r="BH136" i="12"/>
  <c r="BI111" i="12"/>
  <c r="BI114" i="12"/>
  <c r="BI115" i="12"/>
  <c r="BK104" i="12"/>
  <c r="BK95" i="12"/>
  <c r="H21" i="14"/>
  <c r="BK74" i="12"/>
  <c r="BK124" i="12"/>
  <c r="BK125" i="12"/>
  <c r="BK122" i="12"/>
  <c r="BK82" i="12"/>
  <c r="BK57" i="12"/>
  <c r="BK58" i="12"/>
  <c r="BK55" i="12"/>
  <c r="BJ130" i="12"/>
  <c r="BU78" i="12"/>
  <c r="I17" i="14"/>
  <c r="AD17" i="14"/>
  <c r="BM12" i="12"/>
  <c r="BM42" i="12"/>
  <c r="BM104" i="12"/>
  <c r="BI130" i="12"/>
  <c r="BI136" i="12"/>
  <c r="BL104" i="12"/>
  <c r="BL95" i="12"/>
  <c r="BK93" i="12"/>
  <c r="BK111" i="12"/>
  <c r="BL57" i="12"/>
  <c r="BL58" i="12"/>
  <c r="BL55" i="12"/>
  <c r="BL74" i="12"/>
  <c r="BL124" i="12"/>
  <c r="BL125" i="12"/>
  <c r="BL122" i="12"/>
  <c r="BL82" i="12"/>
  <c r="BO12" i="12"/>
  <c r="BJ136" i="12"/>
  <c r="BJ114" i="12"/>
  <c r="BJ115" i="12"/>
  <c r="BT12" i="12"/>
  <c r="BT33" i="12"/>
  <c r="H9" i="14"/>
  <c r="BM95" i="12"/>
  <c r="BL93" i="12"/>
  <c r="BO104" i="12"/>
  <c r="BT104" i="12"/>
  <c r="BM57" i="12"/>
  <c r="BM58" i="12"/>
  <c r="BM55" i="12"/>
  <c r="BT55" i="12"/>
  <c r="BU55" i="12"/>
  <c r="BM82" i="12"/>
  <c r="BU12" i="12"/>
  <c r="BT43" i="12"/>
  <c r="BU43" i="12"/>
  <c r="BK130" i="12"/>
  <c r="BK136" i="12"/>
  <c r="BK114" i="12"/>
  <c r="BK115" i="12"/>
  <c r="BO42" i="12"/>
  <c r="BM124" i="12"/>
  <c r="BT42" i="12"/>
  <c r="BU42" i="12"/>
  <c r="BM74" i="12"/>
  <c r="H7" i="14"/>
  <c r="H6" i="14"/>
  <c r="BU33" i="12"/>
  <c r="I9" i="14"/>
  <c r="AD9" i="14"/>
  <c r="BU104" i="12"/>
  <c r="BL111" i="12"/>
  <c r="BL114" i="12"/>
  <c r="BL115" i="12"/>
  <c r="BT95" i="12"/>
  <c r="BU95" i="12"/>
  <c r="BO95" i="12"/>
  <c r="BO82" i="12"/>
  <c r="BM93" i="12"/>
  <c r="BM111" i="12"/>
  <c r="H13" i="14"/>
  <c r="I13" i="14"/>
  <c r="AD13" i="14"/>
  <c r="BO74" i="12"/>
  <c r="BT82" i="12"/>
  <c r="BU82" i="12"/>
  <c r="I19" i="14"/>
  <c r="AD19" i="14"/>
  <c r="BT124" i="12"/>
  <c r="BU124" i="12"/>
  <c r="BM125" i="12"/>
  <c r="I7" i="14"/>
  <c r="BT74" i="12"/>
  <c r="BL130" i="12"/>
  <c r="BL136" i="12"/>
  <c r="BO93" i="12"/>
  <c r="BO108" i="12"/>
  <c r="BT93" i="12"/>
  <c r="I6" i="14"/>
  <c r="AD7" i="14"/>
  <c r="BU74" i="12"/>
  <c r="BT125" i="12"/>
  <c r="H34" i="14"/>
  <c r="BM122" i="12"/>
  <c r="H19" i="14"/>
  <c r="H16" i="14"/>
  <c r="R44" i="12"/>
  <c r="BT108" i="12"/>
  <c r="H24" i="14"/>
  <c r="H12" i="14"/>
  <c r="BU93" i="12"/>
  <c r="BT112" i="12"/>
  <c r="AD11" i="14"/>
  <c r="AE7" i="14"/>
  <c r="BO122" i="12"/>
  <c r="BT122" i="12"/>
  <c r="I16" i="14"/>
  <c r="AD16" i="14"/>
  <c r="BU125" i="12"/>
  <c r="I34" i="14"/>
  <c r="S44" i="12"/>
  <c r="T44" i="12"/>
  <c r="BM130" i="12"/>
  <c r="BM114" i="12"/>
  <c r="K8" i="14"/>
  <c r="K9" i="14"/>
  <c r="K7" i="14"/>
  <c r="BT111" i="12"/>
  <c r="BU111" i="12"/>
  <c r="BO111" i="12"/>
  <c r="BU108" i="12"/>
  <c r="I24" i="14"/>
  <c r="BU112" i="12"/>
  <c r="AE11" i="14"/>
  <c r="AE10" i="14"/>
  <c r="AE8" i="14"/>
  <c r="AE9" i="14"/>
  <c r="BM115" i="12"/>
  <c r="BO114" i="12"/>
  <c r="BT114" i="12"/>
  <c r="BU114" i="12"/>
  <c r="BT130" i="12"/>
  <c r="BU122" i="12"/>
  <c r="BM136" i="12"/>
  <c r="BT136" i="12"/>
  <c r="H36" i="14"/>
  <c r="H27" i="14"/>
  <c r="H26" i="14"/>
  <c r="AD24" i="14"/>
  <c r="AD25" i="14"/>
  <c r="AE17" i="14"/>
  <c r="I12" i="14"/>
  <c r="K22" i="14"/>
  <c r="H42" i="14"/>
  <c r="H40" i="14"/>
  <c r="H28" i="14"/>
  <c r="K13" i="14"/>
  <c r="K16" i="14"/>
  <c r="AE15" i="14"/>
  <c r="I26" i="14"/>
  <c r="K20" i="14"/>
  <c r="AE14" i="14"/>
  <c r="K14" i="14"/>
  <c r="I27" i="14"/>
  <c r="I28" i="14"/>
  <c r="AE24" i="14"/>
  <c r="AE21" i="14"/>
  <c r="AE20" i="14"/>
  <c r="AE19" i="14"/>
  <c r="AE13" i="14"/>
  <c r="K24" i="14"/>
  <c r="K21" i="14"/>
  <c r="K15" i="14"/>
  <c r="AE16" i="14"/>
  <c r="AE22" i="14"/>
  <c r="AE18" i="14"/>
  <c r="K19" i="14"/>
  <c r="K17" i="14"/>
  <c r="K18" i="14"/>
  <c r="AE25" i="14"/>
  <c r="E81" i="11"/>
  <c r="G96" i="11"/>
  <c r="T119" i="12"/>
  <c r="T117" i="12"/>
  <c r="L119" i="12"/>
  <c r="L117" i="12"/>
  <c r="AD119" i="12"/>
  <c r="AD117" i="12"/>
  <c r="BE119" i="12"/>
  <c r="BE117" i="12"/>
  <c r="P119" i="12"/>
  <c r="P117" i="12"/>
  <c r="AF119" i="12"/>
  <c r="AF117" i="12"/>
  <c r="BD119" i="12"/>
  <c r="BD117" i="12"/>
  <c r="AI119" i="12"/>
  <c r="AI117" i="12"/>
  <c r="AL119" i="12"/>
  <c r="AL117" i="12"/>
  <c r="AT119" i="12"/>
  <c r="AT117" i="12"/>
  <c r="AW119" i="12"/>
  <c r="AW117" i="12"/>
  <c r="AC119" i="12"/>
  <c r="AC117" i="12"/>
  <c r="O119" i="12"/>
  <c r="O117" i="12"/>
  <c r="AP119" i="12"/>
  <c r="AD30" i="14"/>
  <c r="AR119" i="12"/>
  <c r="AR117" i="12"/>
  <c r="AQ119" i="12"/>
  <c r="AQ117" i="12"/>
  <c r="G122" i="11"/>
  <c r="W119" i="12"/>
  <c r="W117" i="12"/>
  <c r="AO119" i="12"/>
  <c r="AO117" i="12"/>
  <c r="BK119" i="12"/>
  <c r="BK117" i="12"/>
  <c r="BH119" i="12"/>
  <c r="BH117" i="12"/>
  <c r="Z119" i="12"/>
  <c r="Z117" i="12"/>
  <c r="N119" i="12"/>
  <c r="N117" i="12"/>
  <c r="AJ119" i="12"/>
  <c r="AJ117" i="12"/>
  <c r="Y119" i="12"/>
  <c r="Y117" i="12"/>
  <c r="BG119" i="12"/>
  <c r="BG117" i="12"/>
  <c r="BJ119" i="12"/>
  <c r="BJ117" i="12"/>
  <c r="F119" i="12"/>
  <c r="I119" i="12"/>
  <c r="I117" i="12"/>
  <c r="AY119" i="12"/>
  <c r="AY117" i="12"/>
  <c r="X119" i="12"/>
  <c r="X117" i="12"/>
  <c r="K119" i="12"/>
  <c r="K117" i="12"/>
  <c r="G119" i="12"/>
  <c r="G117" i="12"/>
  <c r="H119" i="12"/>
  <c r="H117" i="12"/>
  <c r="R119" i="12"/>
  <c r="BM119" i="12"/>
  <c r="BM117" i="12"/>
  <c r="AZ119" i="12"/>
  <c r="AZ117" i="12"/>
  <c r="AV119" i="12"/>
  <c r="AV117" i="12"/>
  <c r="Q119" i="12"/>
  <c r="Q117" i="12"/>
  <c r="BL119" i="12"/>
  <c r="BL117" i="12"/>
  <c r="AG119" i="12"/>
  <c r="AG117" i="12"/>
  <c r="AH119" i="12"/>
  <c r="AH117" i="12"/>
  <c r="U119" i="12"/>
  <c r="U117" i="12"/>
  <c r="BB119" i="12"/>
  <c r="BA119" i="12"/>
  <c r="BA117" i="12"/>
  <c r="BF119" i="12"/>
  <c r="BF117" i="12"/>
  <c r="AB119" i="12"/>
  <c r="AB117" i="12"/>
  <c r="BC119" i="12"/>
  <c r="BC117" i="12"/>
  <c r="AK119" i="12"/>
  <c r="AK117" i="12"/>
  <c r="AS119" i="12"/>
  <c r="AS117" i="12"/>
  <c r="AN119" i="12"/>
  <c r="AN117" i="12"/>
  <c r="M119" i="12"/>
  <c r="M117" i="12"/>
  <c r="J119" i="12"/>
  <c r="J117" i="12"/>
  <c r="AE119" i="12"/>
  <c r="AE117" i="12"/>
  <c r="S119" i="12"/>
  <c r="S117" i="12"/>
  <c r="AU119" i="12"/>
  <c r="AU117" i="12"/>
  <c r="AX119" i="12"/>
  <c r="AX117" i="12"/>
  <c r="AM119" i="12"/>
  <c r="AM117" i="12"/>
  <c r="AA119" i="12"/>
  <c r="AA117" i="12"/>
  <c r="V119" i="12"/>
  <c r="V117" i="12"/>
  <c r="BI119" i="12"/>
  <c r="BI117" i="12"/>
  <c r="AD33" i="14"/>
  <c r="AE30" i="14"/>
  <c r="G123" i="11"/>
  <c r="F118" i="12"/>
  <c r="AP117" i="12"/>
  <c r="BS117" i="12"/>
  <c r="BS119" i="12"/>
  <c r="BR117" i="12"/>
  <c r="BT119" i="12"/>
  <c r="BB117" i="12"/>
  <c r="BT117" i="12"/>
  <c r="BP119" i="12"/>
  <c r="BO119" i="12"/>
  <c r="BR119" i="12"/>
  <c r="R117" i="12"/>
  <c r="BQ117" i="12"/>
  <c r="BQ119" i="12"/>
  <c r="BU119" i="12"/>
  <c r="AE32" i="14"/>
  <c r="AE29" i="14"/>
  <c r="AE31" i="14"/>
  <c r="AE33" i="14"/>
  <c r="BO118" i="12"/>
  <c r="F117" i="12"/>
  <c r="BP118" i="12"/>
  <c r="F130" i="12"/>
  <c r="BP117" i="12"/>
  <c r="BU117" i="12"/>
  <c r="BO117" i="12"/>
  <c r="F131" i="12"/>
  <c r="BP130" i="12"/>
  <c r="BO130" i="12"/>
  <c r="F136" i="12"/>
  <c r="BU118" i="12"/>
  <c r="I31" i="14"/>
  <c r="I36" i="14"/>
  <c r="D31" i="14"/>
  <c r="BP136" i="12"/>
  <c r="BU136" i="12"/>
  <c r="F137" i="12"/>
  <c r="D36" i="14"/>
  <c r="F46" i="14"/>
  <c r="BU130" i="12"/>
  <c r="I42" i="14"/>
  <c r="F132" i="12"/>
  <c r="G131" i="12"/>
  <c r="F49" i="14"/>
  <c r="D61" i="14"/>
  <c r="D62" i="14"/>
  <c r="D37" i="14"/>
  <c r="E37" i="14"/>
  <c r="F37" i="14"/>
  <c r="G37" i="14"/>
  <c r="H37" i="14"/>
  <c r="I37" i="14"/>
  <c r="F50" i="14"/>
  <c r="D40" i="14"/>
  <c r="D42" i="14"/>
  <c r="F138" i="12"/>
  <c r="G137" i="12"/>
  <c r="F134" i="12"/>
  <c r="G132" i="12"/>
  <c r="H131" i="12"/>
  <c r="D41" i="14"/>
  <c r="E41" i="14"/>
  <c r="F41" i="14"/>
  <c r="G41" i="14"/>
  <c r="H41" i="14"/>
  <c r="I40" i="14"/>
  <c r="H132" i="12"/>
  <c r="I131" i="12"/>
  <c r="G138" i="12"/>
  <c r="G134" i="12"/>
  <c r="H137" i="12"/>
  <c r="J131" i="12"/>
  <c r="I132" i="12"/>
  <c r="I137" i="12"/>
  <c r="H134" i="12"/>
  <c r="H138" i="12"/>
  <c r="K131" i="12"/>
  <c r="J132" i="12"/>
  <c r="I138" i="12"/>
  <c r="I134" i="12"/>
  <c r="J137" i="12"/>
  <c r="J134" i="12"/>
  <c r="K137" i="12"/>
  <c r="J138" i="12"/>
  <c r="K132" i="12"/>
  <c r="L131" i="12"/>
  <c r="L132" i="12"/>
  <c r="M131" i="12"/>
  <c r="K138" i="12"/>
  <c r="K134" i="12"/>
  <c r="L137" i="12"/>
  <c r="M132" i="12"/>
  <c r="N131" i="12"/>
  <c r="M137" i="12"/>
  <c r="L138" i="12"/>
  <c r="L134" i="12"/>
  <c r="M138" i="12"/>
  <c r="N137" i="12"/>
  <c r="M134" i="12"/>
  <c r="O131" i="12"/>
  <c r="N132" i="12"/>
  <c r="N138" i="12"/>
  <c r="N134" i="12"/>
  <c r="O137" i="12"/>
  <c r="O132" i="12"/>
  <c r="P131" i="12"/>
  <c r="P132" i="12"/>
  <c r="Q131" i="12"/>
  <c r="P137" i="12"/>
  <c r="O134" i="12"/>
  <c r="O138" i="12"/>
  <c r="Q132" i="12"/>
  <c r="R131" i="12"/>
  <c r="Q137" i="12"/>
  <c r="P138" i="12"/>
  <c r="P134" i="12"/>
  <c r="R137" i="12"/>
  <c r="Q138" i="12"/>
  <c r="Q134" i="12"/>
  <c r="BP134" i="12"/>
  <c r="BP137" i="12"/>
  <c r="R132" i="12"/>
  <c r="S131" i="12"/>
  <c r="S132" i="12"/>
  <c r="T131" i="12"/>
  <c r="R138" i="12"/>
  <c r="S137" i="12"/>
  <c r="R134" i="12"/>
  <c r="T132" i="12"/>
  <c r="U131" i="12"/>
  <c r="S134" i="12"/>
  <c r="T137" i="12"/>
  <c r="S138" i="12"/>
  <c r="V131" i="12"/>
  <c r="U132" i="12"/>
  <c r="U137" i="12"/>
  <c r="T134" i="12"/>
  <c r="T138" i="12"/>
  <c r="U138" i="12"/>
  <c r="V137" i="12"/>
  <c r="U134" i="12"/>
  <c r="W131" i="12"/>
  <c r="V132" i="12"/>
  <c r="V138" i="12"/>
  <c r="W137" i="12"/>
  <c r="V134" i="12"/>
  <c r="W132" i="12"/>
  <c r="X131" i="12"/>
  <c r="W134" i="12"/>
  <c r="X137" i="12"/>
  <c r="W138" i="12"/>
  <c r="X132" i="12"/>
  <c r="Y131" i="12"/>
  <c r="Y137" i="12"/>
  <c r="X134" i="12"/>
  <c r="X138" i="12"/>
  <c r="Z131" i="12"/>
  <c r="Y132" i="12"/>
  <c r="AA131" i="12"/>
  <c r="Z132" i="12"/>
  <c r="Z137" i="12"/>
  <c r="Y134" i="12"/>
  <c r="Y138" i="12"/>
  <c r="AB131" i="12"/>
  <c r="AA132" i="12"/>
  <c r="Z138" i="12"/>
  <c r="AA137" i="12"/>
  <c r="Z134" i="12"/>
  <c r="AB132" i="12"/>
  <c r="AC131" i="12"/>
  <c r="AA138" i="12"/>
  <c r="AB137" i="12"/>
  <c r="AA134" i="12"/>
  <c r="AD131" i="12"/>
  <c r="AC132" i="12"/>
  <c r="AC137" i="12"/>
  <c r="AB134" i="12"/>
  <c r="AB138" i="12"/>
  <c r="AC134" i="12"/>
  <c r="BQ134" i="12"/>
  <c r="AC138" i="12"/>
  <c r="AD137" i="12"/>
  <c r="BQ137" i="12"/>
  <c r="AD132" i="12"/>
  <c r="AE131" i="12"/>
  <c r="AE132" i="12"/>
  <c r="AF131" i="12"/>
  <c r="AD134" i="12"/>
  <c r="AE137" i="12"/>
  <c r="AD138" i="12"/>
  <c r="AE134" i="12"/>
  <c r="AF137" i="12"/>
  <c r="AE138" i="12"/>
  <c r="AG131" i="12"/>
  <c r="AF132" i="12"/>
  <c r="AF134" i="12"/>
  <c r="AG137" i="12"/>
  <c r="AF138" i="12"/>
  <c r="AG132" i="12"/>
  <c r="AH131" i="12"/>
  <c r="AH137" i="12"/>
  <c r="AG134" i="12"/>
  <c r="AG138" i="12"/>
  <c r="AH132" i="12"/>
  <c r="AI131" i="12"/>
  <c r="AI132" i="12"/>
  <c r="AJ131" i="12"/>
  <c r="AI137" i="12"/>
  <c r="AH138" i="12"/>
  <c r="AH134" i="12"/>
  <c r="AI134" i="12"/>
  <c r="AJ137" i="12"/>
  <c r="AI138" i="12"/>
  <c r="AJ132" i="12"/>
  <c r="AK131" i="12"/>
  <c r="AK132" i="12"/>
  <c r="AL131" i="12"/>
  <c r="AJ134" i="12"/>
  <c r="AJ138" i="12"/>
  <c r="AK137" i="12"/>
  <c r="AL132" i="12"/>
  <c r="AM131" i="12"/>
  <c r="AL137" i="12"/>
  <c r="AK138" i="12"/>
  <c r="AK134" i="12"/>
  <c r="AM137" i="12"/>
  <c r="AL138" i="12"/>
  <c r="AL134" i="12"/>
  <c r="AN131" i="12"/>
  <c r="AM132" i="12"/>
  <c r="AM134" i="12"/>
  <c r="AN137" i="12"/>
  <c r="AM138" i="12"/>
  <c r="AO131" i="12"/>
  <c r="AN132" i="12"/>
  <c r="AN138" i="12"/>
  <c r="AO137" i="12"/>
  <c r="AN134" i="12"/>
  <c r="AO132" i="12"/>
  <c r="AP131" i="12"/>
  <c r="AO138" i="12"/>
  <c r="AP137" i="12"/>
  <c r="AO134" i="12"/>
  <c r="BR134" i="12"/>
  <c r="BR137" i="12"/>
  <c r="AQ131" i="12"/>
  <c r="AP132" i="12"/>
  <c r="AP138" i="12"/>
  <c r="AP134" i="12"/>
  <c r="AQ137" i="12"/>
  <c r="AQ132" i="12"/>
  <c r="AR131" i="12"/>
  <c r="AQ134" i="12"/>
  <c r="AR137" i="12"/>
  <c r="AQ138" i="12"/>
  <c r="AR132" i="12"/>
  <c r="AS131" i="12"/>
  <c r="AS132" i="12"/>
  <c r="AT131" i="12"/>
  <c r="AS137" i="12"/>
  <c r="AR134" i="12"/>
  <c r="AR138" i="12"/>
  <c r="AS138" i="12"/>
  <c r="AT137" i="12"/>
  <c r="AS134" i="12"/>
  <c r="AU131" i="12"/>
  <c r="AT132" i="12"/>
  <c r="AV131" i="12"/>
  <c r="AU132" i="12"/>
  <c r="AT134" i="12"/>
  <c r="AT138" i="12"/>
  <c r="AU137" i="12"/>
  <c r="AU138" i="12"/>
  <c r="AU134" i="12"/>
  <c r="AV137" i="12"/>
  <c r="AV132" i="12"/>
  <c r="AW131" i="12"/>
  <c r="AW137" i="12"/>
  <c r="AV134" i="12"/>
  <c r="AV138" i="12"/>
  <c r="AX131" i="12"/>
  <c r="AW132" i="12"/>
  <c r="AX137" i="12"/>
  <c r="AW134" i="12"/>
  <c r="AW138" i="12"/>
  <c r="AY131" i="12"/>
  <c r="AX132" i="12"/>
  <c r="AX134" i="12"/>
  <c r="AX138" i="12"/>
  <c r="AY137" i="12"/>
  <c r="AY132" i="12"/>
  <c r="AZ131" i="12"/>
  <c r="AY138" i="12"/>
  <c r="AZ137" i="12"/>
  <c r="AY134" i="12"/>
  <c r="AZ132" i="12"/>
  <c r="BA131" i="12"/>
  <c r="BA137" i="12"/>
  <c r="AZ138" i="12"/>
  <c r="AZ134" i="12"/>
  <c r="BB131" i="12"/>
  <c r="BA132" i="12"/>
  <c r="BA138" i="12"/>
  <c r="BB137" i="12"/>
  <c r="BA134" i="12"/>
  <c r="BS134" i="12"/>
  <c r="BS137" i="12"/>
  <c r="BB132" i="12"/>
  <c r="BC131" i="12"/>
  <c r="BD131" i="12"/>
  <c r="BC132" i="12"/>
  <c r="BB134" i="12"/>
  <c r="BB138" i="12"/>
  <c r="BC137" i="12"/>
  <c r="BD137" i="12"/>
  <c r="BC134" i="12"/>
  <c r="BC138" i="12"/>
  <c r="BD132" i="12"/>
  <c r="BE131" i="12"/>
  <c r="BE137" i="12"/>
  <c r="BD138" i="12"/>
  <c r="BD134" i="12"/>
  <c r="BE132" i="12"/>
  <c r="BF131" i="12"/>
  <c r="BF132" i="12"/>
  <c r="BG131" i="12"/>
  <c r="BF137" i="12"/>
  <c r="BE138" i="12"/>
  <c r="BE134" i="12"/>
  <c r="BF134" i="12"/>
  <c r="BF138" i="12"/>
  <c r="BG137" i="12"/>
  <c r="BG132" i="12"/>
  <c r="BH131" i="12"/>
  <c r="BG134" i="12"/>
  <c r="BG138" i="12"/>
  <c r="BH137" i="12"/>
  <c r="BH132" i="12"/>
  <c r="BI131" i="12"/>
  <c r="BI137" i="12"/>
  <c r="BH134" i="12"/>
  <c r="BH138" i="12"/>
  <c r="BJ131" i="12"/>
  <c r="BI132" i="12"/>
  <c r="BJ137" i="12"/>
  <c r="BI134" i="12"/>
  <c r="BI138" i="12"/>
  <c r="BK131" i="12"/>
  <c r="BJ132" i="12"/>
  <c r="BJ134" i="12"/>
  <c r="BJ138" i="12"/>
  <c r="BK137" i="12"/>
  <c r="BK132" i="12"/>
  <c r="BL131" i="12"/>
  <c r="BK138" i="12"/>
  <c r="BK134" i="12"/>
  <c r="BL137" i="12"/>
  <c r="BM131" i="12"/>
  <c r="BM132" i="12"/>
  <c r="BL132" i="12"/>
  <c r="D132" i="12"/>
  <c r="BM137" i="12"/>
  <c r="BL134" i="12"/>
  <c r="BL138" i="12"/>
  <c r="BM134" i="12"/>
  <c r="BM138" i="12"/>
  <c r="D138" i="12"/>
  <c r="BT137" i="12"/>
  <c r="BU137" i="12"/>
  <c r="F47" i="14"/>
  <c r="E132" i="12"/>
  <c r="E138" i="12"/>
  <c r="F48" i="14"/>
  <c r="BO134" i="12"/>
  <c r="BT134" i="12"/>
  <c r="BU134" i="1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Laptop</author>
  </authors>
  <commentList>
    <comment ref="C11" authorId="0" shapeId="0" xr:uid="{00000000-0006-0000-0200-000001000000}">
      <text>
        <r>
          <rPr>
            <b/>
            <sz val="9"/>
            <color indexed="81"/>
            <rFont val="Tahoma"/>
            <family val="2"/>
            <charset val="204"/>
          </rPr>
          <t>Выручка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C45" authorId="0" shapeId="0" xr:uid="{00000000-0006-0000-0200-000002000000}">
      <text>
        <r>
          <rPr>
            <b/>
            <sz val="9"/>
            <color indexed="81"/>
            <rFont val="Tahoma"/>
            <family val="2"/>
            <charset val="204"/>
          </rPr>
          <t>Операционные расходы</t>
        </r>
      </text>
    </comment>
    <comment ref="C117" authorId="0" shapeId="0" xr:uid="{00000000-0006-0000-0200-000003000000}">
      <text>
        <r>
          <rPr>
            <b/>
            <sz val="9"/>
            <color indexed="81"/>
            <rFont val="Tahoma"/>
            <family val="2"/>
            <charset val="204"/>
          </rPr>
          <t>Инвестиции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C130" authorId="0" shapeId="0" xr:uid="{00000000-0006-0000-0200-000004000000}">
      <text>
        <r>
          <rPr>
            <b/>
            <sz val="9"/>
            <color rgb="FF000000"/>
            <rFont val="Tahoma"/>
            <family val="2"/>
            <charset val="204"/>
          </rPr>
          <t>Денежный поток</t>
        </r>
      </text>
    </comment>
    <comment ref="C134" authorId="0" shapeId="0" xr:uid="{00000000-0006-0000-0200-000005000000}">
      <text>
        <r>
          <rPr>
            <b/>
            <sz val="9"/>
            <color indexed="81"/>
            <rFont val="Tahoma"/>
            <family val="2"/>
            <charset val="204"/>
          </rPr>
          <t>Дисконтированный денежный поток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Laptop</author>
  </authors>
  <commentList>
    <comment ref="C6" authorId="0" shapeId="0" xr:uid="{00000000-0006-0000-0300-000001000000}">
      <text>
        <r>
          <rPr>
            <b/>
            <sz val="9"/>
            <color indexed="81"/>
            <rFont val="Tahoma"/>
            <family val="2"/>
            <charset val="204"/>
          </rPr>
          <t>Выручка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C12" authorId="0" shapeId="0" xr:uid="{00000000-0006-0000-0300-000002000000}">
      <text>
        <r>
          <rPr>
            <b/>
            <sz val="9"/>
            <color indexed="81"/>
            <rFont val="Tahoma"/>
            <family val="2"/>
            <charset val="204"/>
          </rPr>
          <t>Операционные расходы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C30" authorId="0" shapeId="0" xr:uid="{00000000-0006-0000-0300-000003000000}">
      <text>
        <r>
          <rPr>
            <b/>
            <sz val="9"/>
            <color rgb="FF000000"/>
            <rFont val="Tahoma"/>
            <family val="2"/>
            <charset val="204"/>
          </rPr>
          <t>Инвестиции</t>
        </r>
        <r>
          <rPr>
            <sz val="9"/>
            <color rgb="FF000000"/>
            <rFont val="Tahoma"/>
            <family val="2"/>
            <charset val="204"/>
          </rPr>
          <t xml:space="preserve">
</t>
        </r>
      </text>
    </comment>
    <comment ref="C36" authorId="0" shapeId="0" xr:uid="{00000000-0006-0000-0300-000004000000}">
      <text>
        <r>
          <rPr>
            <b/>
            <sz val="9"/>
            <color indexed="81"/>
            <rFont val="Tahoma"/>
            <family val="2"/>
            <charset val="204"/>
          </rPr>
          <t>Денежный  поток</t>
        </r>
      </text>
    </comment>
    <comment ref="C39" authorId="0" shapeId="0" xr:uid="{00000000-0006-0000-0300-000005000000}">
      <text>
        <r>
          <rPr>
            <b/>
            <sz val="9"/>
            <color indexed="81"/>
            <rFont val="Tahoma"/>
            <family val="2"/>
            <charset val="204"/>
          </rPr>
          <t>Дисконтированный денежный поток</t>
        </r>
      </text>
    </comment>
    <comment ref="C45" authorId="0" shapeId="0" xr:uid="{00000000-0006-0000-0300-000006000000}">
      <text>
        <r>
          <rPr>
            <b/>
            <sz val="9"/>
            <color indexed="81"/>
            <rFont val="Tahoma"/>
            <family val="2"/>
            <charset val="204"/>
          </rPr>
          <t>Ставка дисконтирования</t>
        </r>
      </text>
    </comment>
    <comment ref="C46" authorId="0" shapeId="0" xr:uid="{00000000-0006-0000-0300-000007000000}">
      <text>
        <r>
          <rPr>
            <b/>
            <sz val="9"/>
            <color indexed="81"/>
            <rFont val="Tahoma"/>
            <family val="2"/>
            <charset val="204"/>
          </rPr>
          <t>Инвестиции</t>
        </r>
      </text>
    </comment>
    <comment ref="C49" authorId="0" shapeId="0" xr:uid="{00000000-0006-0000-0300-000008000000}">
      <text>
        <r>
          <rPr>
            <b/>
            <sz val="9"/>
            <color indexed="81"/>
            <rFont val="Tahoma"/>
            <family val="2"/>
            <charset val="204"/>
          </rPr>
          <t>Чистая приведенная стоимость</t>
        </r>
      </text>
    </comment>
    <comment ref="C50" authorId="0" shapeId="0" xr:uid="{00000000-0006-0000-0300-000009000000}">
      <text>
        <r>
          <rPr>
            <b/>
            <sz val="9"/>
            <color indexed="81"/>
            <rFont val="Tahoma"/>
            <family val="2"/>
            <charset val="204"/>
          </rPr>
          <t>Внутренняя норма доходности</t>
        </r>
      </text>
    </comment>
  </commentList>
</comments>
</file>

<file path=xl/sharedStrings.xml><?xml version="1.0" encoding="utf-8"?>
<sst xmlns="http://schemas.openxmlformats.org/spreadsheetml/2006/main" count="487" uniqueCount="282">
  <si>
    <t>ед. изм.</t>
  </si>
  <si>
    <t>шт.</t>
  </si>
  <si>
    <t>м2</t>
  </si>
  <si>
    <t>Итого</t>
  </si>
  <si>
    <t>Франшиза</t>
  </si>
  <si>
    <t>Инфляция</t>
  </si>
  <si>
    <t>Отношение оборотного капитала к выручке</t>
  </si>
  <si>
    <t>%</t>
  </si>
  <si>
    <t xml:space="preserve">NPV </t>
  </si>
  <si>
    <t>IRR</t>
  </si>
  <si>
    <t>часов</t>
  </si>
  <si>
    <t>Средняя стоимость часа игры PC</t>
  </si>
  <si>
    <t>Заработная плата</t>
  </si>
  <si>
    <t>Реклама</t>
  </si>
  <si>
    <t>Роялти (5%)</t>
  </si>
  <si>
    <t>Площадь помещения</t>
  </si>
  <si>
    <t>Налоги (УСН 6%)</t>
  </si>
  <si>
    <t>Налоги ЕСН</t>
  </si>
  <si>
    <t>Патент</t>
  </si>
  <si>
    <t>Коммунальные платежи</t>
  </si>
  <si>
    <t>Закупки Бар</t>
  </si>
  <si>
    <t>% загрузки PC</t>
  </si>
  <si>
    <t>FINANCIAL MODEL COLIZEUM</t>
  </si>
  <si>
    <t>Ед. изм.</t>
  </si>
  <si>
    <t>% роста годовой арендной ставки помещения</t>
  </si>
  <si>
    <t>руб.</t>
  </si>
  <si>
    <t>Количество компьютеров PC</t>
  </si>
  <si>
    <t>ПОМЕЩЕНИЕ</t>
  </si>
  <si>
    <t>Зона кафе и администратора</t>
  </si>
  <si>
    <t>Стоимость</t>
  </si>
  <si>
    <t>Кол-во</t>
  </si>
  <si>
    <t>Значение</t>
  </si>
  <si>
    <t>Роялти</t>
  </si>
  <si>
    <t>% затрат на рекламу от выручки</t>
  </si>
  <si>
    <t>Total investments</t>
  </si>
  <si>
    <t>Компьютер администратора</t>
  </si>
  <si>
    <t>Кресло администратора</t>
  </si>
  <si>
    <t>Барная стойка</t>
  </si>
  <si>
    <t>Барные стулья</t>
  </si>
  <si>
    <t>Диваны</t>
  </si>
  <si>
    <t>Стойка администратора</t>
  </si>
  <si>
    <t>Онлайн касса</t>
  </si>
  <si>
    <t>МОДЕЛЬ</t>
  </si>
  <si>
    <t>месяцев</t>
  </si>
  <si>
    <t xml:space="preserve">Выручка от аренды Sony PS </t>
  </si>
  <si>
    <t>Выручка кафе</t>
  </si>
  <si>
    <t>% в год</t>
  </si>
  <si>
    <t>% от выручки</t>
  </si>
  <si>
    <t>ВВОДНЫЕ ДАННЫЕ / ASSUMPTIONS</t>
  </si>
  <si>
    <t>1 год</t>
  </si>
  <si>
    <t>2 год</t>
  </si>
  <si>
    <t>3 год</t>
  </si>
  <si>
    <t>4 год</t>
  </si>
  <si>
    <t>5 год</t>
  </si>
  <si>
    <t>да</t>
  </si>
  <si>
    <t>Аренда помещения</t>
  </si>
  <si>
    <t>Прочие</t>
  </si>
  <si>
    <t xml:space="preserve">Роялти </t>
  </si>
  <si>
    <t>PBP payback period /  Срок  окупаемости</t>
  </si>
  <si>
    <t>Discount rate</t>
  </si>
  <si>
    <t>Investments</t>
  </si>
  <si>
    <t>Маржинальность бара / % наценки</t>
  </si>
  <si>
    <t>чекбокс</t>
  </si>
  <si>
    <t>Рублей выручки бара на 1 час игрового времени</t>
  </si>
  <si>
    <t>руб./час.</t>
  </si>
  <si>
    <t>Всего часов игрового времени</t>
  </si>
  <si>
    <t>1 место</t>
  </si>
  <si>
    <t>Количество стандартных PC</t>
  </si>
  <si>
    <t>Выручка от аренды стандартных PC</t>
  </si>
  <si>
    <t>Ставка УСН (для выручки бара)</t>
  </si>
  <si>
    <t>Сумма официальной з/п в мес.</t>
  </si>
  <si>
    <t>руб./мес.</t>
  </si>
  <si>
    <t>Индексация выручки/ расходов на инфляцию</t>
  </si>
  <si>
    <t xml:space="preserve">Средняя стоимость часа игры Sony PS </t>
  </si>
  <si>
    <t>Пожарное оснащение</t>
  </si>
  <si>
    <t>руб./м2</t>
  </si>
  <si>
    <t>Вывеска - наружная реклама</t>
  </si>
  <si>
    <t>месяц</t>
  </si>
  <si>
    <t>Инвестиции</t>
  </si>
  <si>
    <t>проверка</t>
  </si>
  <si>
    <t>Доп. корректировка стоимости  игрового времени</t>
  </si>
  <si>
    <t>Средняя стоимость часа игры PC с инфляцией</t>
  </si>
  <si>
    <t>Годовая инфляция</t>
  </si>
  <si>
    <t>Инфляция периода</t>
  </si>
  <si>
    <t>Накопленная инфляция</t>
  </si>
  <si>
    <t>% Доп. корректировка стоимости  игрового времени</t>
  </si>
  <si>
    <t>Среднее количество часов в месяце всего 1PC</t>
  </si>
  <si>
    <t>часов/1PC</t>
  </si>
  <si>
    <t>Количество часов игрового времени 1 PC</t>
  </si>
  <si>
    <t>часов /1 PC</t>
  </si>
  <si>
    <t>Рублей выручки бара на 1 час игрового времени с инфляцией</t>
  </si>
  <si>
    <t>Всего часов игрового времени всех PC / PS</t>
  </si>
  <si>
    <t>руб./м2 в год</t>
  </si>
  <si>
    <t>Площадь</t>
  </si>
  <si>
    <t>Ставка аренды</t>
  </si>
  <si>
    <t xml:space="preserve">Накопленный % роста </t>
  </si>
  <si>
    <t>Среднее количество рабочих дней</t>
  </si>
  <si>
    <t>дней</t>
  </si>
  <si>
    <t>руб./сутки</t>
  </si>
  <si>
    <t>% корректировки суммы затрат на рекламу</t>
  </si>
  <si>
    <t>Прочие затраты</t>
  </si>
  <si>
    <t>Margin %</t>
  </si>
  <si>
    <t>Оборотные средства</t>
  </si>
  <si>
    <t>Требующиеся оборотные средства</t>
  </si>
  <si>
    <t>Изменение оборотных средств</t>
  </si>
  <si>
    <t>Discounted cash flow</t>
  </si>
  <si>
    <t>Cumulative cash flow</t>
  </si>
  <si>
    <t>DPP Discounted payback period /  Дисконтированный срок  окупаемости</t>
  </si>
  <si>
    <t>Cumulative Discounted  cash flow</t>
  </si>
  <si>
    <t>Ставка дисконтирования</t>
  </si>
  <si>
    <t>Cumulative discounted cash flow</t>
  </si>
  <si>
    <t xml:space="preserve">  корректировка по месяцам - лист Модель</t>
  </si>
  <si>
    <t>Месяц начала оплаты роялти</t>
  </si>
  <si>
    <t>Доля карточных платежей от выручки</t>
  </si>
  <si>
    <t>Цена за ед., руб.</t>
  </si>
  <si>
    <t>CAPEX /ИНВЕСТИЦИИ</t>
  </si>
  <si>
    <t>Комиссия за эквайринг</t>
  </si>
  <si>
    <t>Затраты на интернет  в мес.</t>
  </si>
  <si>
    <t>Кондиционирование и вентиляция</t>
  </si>
  <si>
    <t>Пред диванные столики</t>
  </si>
  <si>
    <t>Интернет</t>
  </si>
  <si>
    <t>% с оборота для расчета арендной платы от суммы выручки</t>
  </si>
  <si>
    <t>Всего</t>
  </si>
  <si>
    <t>Прочие доходы</t>
  </si>
  <si>
    <t>Оценка по выручке</t>
  </si>
  <si>
    <t xml:space="preserve">Оценка по прибыли </t>
  </si>
  <si>
    <t>Приведенная стоимость денежных потоков</t>
  </si>
  <si>
    <t>Прочие доходы без инфляции</t>
  </si>
  <si>
    <t>Прочие доходы с инфляцией</t>
  </si>
  <si>
    <t>Расчет стоимости бизнеса</t>
  </si>
  <si>
    <t>Ставка аренды помещения (фикс ставка/постоянная часть)</t>
  </si>
  <si>
    <t>Сумма % с оборота</t>
  </si>
  <si>
    <t>Расчетная сумма платежа (аренда с оборота - фикс )</t>
  </si>
  <si>
    <t>Арендная плата в % от суммы выручки</t>
  </si>
  <si>
    <t>Средняя оценка стоимости</t>
  </si>
  <si>
    <t xml:space="preserve">Мультипликаторы для  оценки стоимости бизнеса </t>
  </si>
  <si>
    <t>Выручка за 1 год</t>
  </si>
  <si>
    <t>Прибыль за 2 года</t>
  </si>
  <si>
    <t>Зарплата управляющего клуба</t>
  </si>
  <si>
    <t>Зарплата администраторов клуба</t>
  </si>
  <si>
    <t>https://colizeum.ru</t>
  </si>
  <si>
    <t>Взносы в пенсионные, страховые и др. фонды</t>
  </si>
  <si>
    <t>руб/мес.</t>
  </si>
  <si>
    <r>
      <t xml:space="preserve">REVENUE </t>
    </r>
    <r>
      <rPr>
        <b/>
        <sz val="11"/>
        <color theme="0" tint="-0.499984740745262"/>
        <rFont val="Calibri"/>
        <family val="2"/>
        <charset val="204"/>
        <scheme val="minor"/>
      </rPr>
      <t>Выручка</t>
    </r>
  </si>
  <si>
    <r>
      <t xml:space="preserve">OPEX </t>
    </r>
    <r>
      <rPr>
        <b/>
        <sz val="11"/>
        <color theme="0" tint="-0.499984740745262"/>
        <rFont val="Calibri"/>
        <family val="2"/>
        <charset val="204"/>
        <scheme val="minor"/>
      </rPr>
      <t>Операционные затраты</t>
    </r>
  </si>
  <si>
    <t xml:space="preserve"> руб.</t>
  </si>
  <si>
    <r>
      <t xml:space="preserve">UNITS </t>
    </r>
    <r>
      <rPr>
        <b/>
        <sz val="11"/>
        <color theme="0" tint="-0.499984740745262"/>
        <rFont val="Calibri"/>
        <family val="2"/>
        <charset val="204"/>
        <scheme val="minor"/>
      </rPr>
      <t>Показатели</t>
    </r>
  </si>
  <si>
    <r>
      <t xml:space="preserve">TOTAL REVENUE </t>
    </r>
    <r>
      <rPr>
        <b/>
        <sz val="11"/>
        <color theme="0" tint="-0.499984740745262"/>
        <rFont val="Calibri"/>
        <family val="2"/>
        <charset val="204"/>
        <scheme val="minor"/>
      </rPr>
      <t>Итого выручка</t>
    </r>
  </si>
  <si>
    <r>
      <t xml:space="preserve">OPEX </t>
    </r>
    <r>
      <rPr>
        <b/>
        <sz val="11"/>
        <color theme="0" tint="-0.499984740745262"/>
        <rFont val="Calibri"/>
        <family val="2"/>
        <charset val="204"/>
        <scheme val="minor"/>
      </rPr>
      <t>Операционные расходы</t>
    </r>
  </si>
  <si>
    <r>
      <t xml:space="preserve">TOTAL OPEX </t>
    </r>
    <r>
      <rPr>
        <b/>
        <sz val="11"/>
        <color theme="1" tint="0.499984740745262"/>
        <rFont val="Calibri"/>
        <family val="2"/>
        <charset val="204"/>
        <scheme val="minor"/>
      </rPr>
      <t>Итого операционные расходы</t>
    </r>
  </si>
  <si>
    <r>
      <t xml:space="preserve">CAPEX </t>
    </r>
    <r>
      <rPr>
        <b/>
        <sz val="11"/>
        <color theme="1" tint="0.499984740745262"/>
        <rFont val="Calibri"/>
        <family val="2"/>
        <charset val="204"/>
        <scheme val="minor"/>
      </rPr>
      <t>Инвестиции</t>
    </r>
  </si>
  <si>
    <r>
      <t xml:space="preserve">Free Cash Flow </t>
    </r>
    <r>
      <rPr>
        <b/>
        <sz val="11"/>
        <color theme="1" tint="0.499984740745262"/>
        <rFont val="Calibri"/>
        <family val="2"/>
        <charset val="204"/>
        <scheme val="minor"/>
      </rPr>
      <t>Денежный поток</t>
    </r>
  </si>
  <si>
    <r>
      <t xml:space="preserve">Cumulative Discounted  cash flow </t>
    </r>
    <r>
      <rPr>
        <b/>
        <sz val="11"/>
        <color theme="1" tint="0.499984740745262"/>
        <rFont val="Calibri"/>
        <family val="2"/>
        <charset val="204"/>
        <scheme val="minor"/>
      </rPr>
      <t>Дисконтированный поток накопленным итогом</t>
    </r>
  </si>
  <si>
    <r>
      <t xml:space="preserve">REVENUE </t>
    </r>
    <r>
      <rPr>
        <b/>
        <sz val="11"/>
        <color theme="1" tint="0.499984740745262"/>
        <rFont val="Calibri"/>
        <family val="2"/>
        <charset val="204"/>
        <scheme val="minor"/>
      </rPr>
      <t>Выручка</t>
    </r>
  </si>
  <si>
    <r>
      <t xml:space="preserve">OPEX </t>
    </r>
    <r>
      <rPr>
        <b/>
        <sz val="11"/>
        <color theme="1" tint="0.499984740745262"/>
        <rFont val="Calibri"/>
        <family val="2"/>
        <charset val="204"/>
        <scheme val="minor"/>
      </rPr>
      <t>Операционные затраты</t>
    </r>
  </si>
  <si>
    <r>
      <t xml:space="preserve">Margin  </t>
    </r>
    <r>
      <rPr>
        <b/>
        <sz val="11"/>
        <color theme="1" tint="0.499984740745262"/>
        <rFont val="Calibri"/>
        <family val="2"/>
        <charset val="204"/>
        <scheme val="minor"/>
      </rPr>
      <t>Маржа</t>
    </r>
  </si>
  <si>
    <t>лет</t>
  </si>
  <si>
    <t>Инвестиции на восстановление PC</t>
  </si>
  <si>
    <t>руб./м2 мес.</t>
  </si>
  <si>
    <t>чел./сут.</t>
  </si>
  <si>
    <t>Зарплата 1 администратора клуба</t>
  </si>
  <si>
    <t>минимум 30 тыс./мес.</t>
  </si>
  <si>
    <t>Минимальная сумма роялти</t>
  </si>
  <si>
    <t xml:space="preserve">Эффективность проекта </t>
  </si>
  <si>
    <t>Кафе</t>
  </si>
  <si>
    <t xml:space="preserve">Sony PS </t>
  </si>
  <si>
    <t>Стандарт PC</t>
  </si>
  <si>
    <t>Коммуналка</t>
  </si>
  <si>
    <t>ЗП</t>
  </si>
  <si>
    <t>Помещение</t>
  </si>
  <si>
    <t>Игровые места и мебель</t>
  </si>
  <si>
    <t>Структура вложений</t>
  </si>
  <si>
    <t>Кафе и администратор</t>
  </si>
  <si>
    <t>RTX 3060</t>
  </si>
  <si>
    <t>Проекты электрика/архитектура и т.д.</t>
  </si>
  <si>
    <t>Оборудование</t>
  </si>
  <si>
    <t>Внутреннее оформление помещения</t>
  </si>
  <si>
    <t>Видеонаблюдение и сетевое оборудование</t>
  </si>
  <si>
    <t>Бухгалтерское обслуживание</t>
  </si>
  <si>
    <t>Граффити</t>
  </si>
  <si>
    <t>Количество Sony PS + TV</t>
  </si>
  <si>
    <t>% загрузки  Sony PS + TV</t>
  </si>
  <si>
    <t>% от общих затрат</t>
  </si>
  <si>
    <t>зависит от региона</t>
  </si>
  <si>
    <t>Количество администраторов клуба в сутки</t>
  </si>
  <si>
    <t>Безопасность (тревожная кнопка)</t>
  </si>
  <si>
    <t>Доп. поле  расходов</t>
  </si>
  <si>
    <t>СМР Ремонт помещения (работа + материалы)</t>
  </si>
  <si>
    <t>Sony PS + TV + мебель</t>
  </si>
  <si>
    <t>Курс USD</t>
  </si>
  <si>
    <t>наименование</t>
  </si>
  <si>
    <t>цена USD</t>
  </si>
  <si>
    <t>цена руб.</t>
  </si>
  <si>
    <t>системный блок</t>
  </si>
  <si>
    <t>монитор</t>
  </si>
  <si>
    <t>монитор VG279QM - 280 герц VIP</t>
  </si>
  <si>
    <t>монитор VG259QM - 280 герц VIP</t>
  </si>
  <si>
    <t>монитор VG278QR - 165 герц</t>
  </si>
  <si>
    <t>Игровая мышь ASUS M3</t>
  </si>
  <si>
    <t xml:space="preserve">периферия буткемп </t>
  </si>
  <si>
    <r>
      <t xml:space="preserve">RESULTS </t>
    </r>
    <r>
      <rPr>
        <b/>
        <sz val="11"/>
        <color theme="0" tint="-0.14999847407452621"/>
        <rFont val="Calibri"/>
        <family val="2"/>
        <charset val="204"/>
        <scheme val="minor"/>
      </rPr>
      <t xml:space="preserve">Основные показатели </t>
    </r>
  </si>
  <si>
    <t>Рабочее место от:</t>
  </si>
  <si>
    <t xml:space="preserve">НДФЛ + взносы в пенсионные, страховые и др. фонды </t>
  </si>
  <si>
    <t>Доля платежей по карте</t>
  </si>
  <si>
    <t>Примечания</t>
  </si>
  <si>
    <t>Стоимость патента (для услуг аренды оборудования)</t>
  </si>
  <si>
    <t>Коммунальные платежи в мес. на 1 м2 (электричество, вода, эксплутатация, уборка)</t>
  </si>
  <si>
    <t>Доля прочих затрат</t>
  </si>
  <si>
    <t>Регулярные затраты на износ оборудования</t>
  </si>
  <si>
    <t>% от инвестиций</t>
  </si>
  <si>
    <t>Коммунальные платежи (электричество, вода, эксплутатация, уборка)</t>
  </si>
  <si>
    <t>Ячейки для ввода выделены цветом</t>
  </si>
  <si>
    <t>заполняется, если есть в договоре</t>
  </si>
  <si>
    <t>опционально</t>
  </si>
  <si>
    <t xml:space="preserve"> опционально (по желанию)</t>
  </si>
  <si>
    <t>Орг. Расходы</t>
  </si>
  <si>
    <t>Аренда помещения (фиксированная ставка) + депозит</t>
  </si>
  <si>
    <t>Обеспечительный платеж по аренде (% от месячной аренды)</t>
  </si>
  <si>
    <t>кол-во</t>
  </si>
  <si>
    <t>итого USD</t>
  </si>
  <si>
    <t>итого руб.</t>
  </si>
  <si>
    <t>кресла</t>
  </si>
  <si>
    <t>PC + кресло</t>
  </si>
  <si>
    <r>
      <t xml:space="preserve">Margin </t>
    </r>
    <r>
      <rPr>
        <b/>
        <sz val="11"/>
        <color theme="1" tint="0.499984740745262"/>
        <rFont val="Calibri"/>
        <family val="2"/>
        <charset val="204"/>
        <scheme val="minor"/>
      </rPr>
      <t>/ Прибыль</t>
    </r>
  </si>
  <si>
    <t>Margin / Маржинальность %</t>
  </si>
  <si>
    <t>Монитор VG248QG  - 165 герц</t>
  </si>
  <si>
    <t>аутсорсинг</t>
  </si>
  <si>
    <t>периферия общий зал</t>
  </si>
  <si>
    <t>ASUS TUF Gaming K3 чёрная Игровая клавиатура</t>
  </si>
  <si>
    <t>кемп / арена</t>
  </si>
  <si>
    <t>кресло khight titan - yellow</t>
  </si>
  <si>
    <t>кресло khight kraft</t>
  </si>
  <si>
    <t>Столы для PC (стол + полка + труба + крепления)</t>
  </si>
  <si>
    <t>Итого устройств</t>
  </si>
  <si>
    <t>Абонентская плата за ПО и мобильное приложение</t>
  </si>
  <si>
    <t>Срок полного обновления оборудования</t>
  </si>
  <si>
    <t>Доля платежей через СБП</t>
  </si>
  <si>
    <t>Комиссия банка за эквайринг</t>
  </si>
  <si>
    <t>Комиссия банка через СБП</t>
  </si>
  <si>
    <t>Доля платежей наличными</t>
  </si>
  <si>
    <t>Комиссия за СБП</t>
  </si>
  <si>
    <t>Эквайринг и СБП</t>
  </si>
  <si>
    <t>Индексация стоимости игрового времени</t>
  </si>
  <si>
    <t>Сумма оплаты взносов в фонды (на них можно уменьшить платежи по УСН)</t>
  </si>
  <si>
    <t>Взносы можно вычесть из платежей по УСН</t>
  </si>
  <si>
    <t>общий зал</t>
  </si>
  <si>
    <t>Прочие доходы (продажа рекламы, периферии, мерча, академии киберспорта и т.п.)</t>
  </si>
  <si>
    <t>руб./смена</t>
  </si>
  <si>
    <t>Срок</t>
  </si>
  <si>
    <t>Первоначальный взнос</t>
  </si>
  <si>
    <t>Ежемесячный платеж</t>
  </si>
  <si>
    <t>Лизинг</t>
  </si>
  <si>
    <t>Лизинг на оборудование</t>
  </si>
  <si>
    <t>ЛИЗИНГ</t>
  </si>
  <si>
    <t>нет</t>
  </si>
  <si>
    <t>Общая сумма лизинга</t>
  </si>
  <si>
    <t>руб</t>
  </si>
  <si>
    <t>Общий % удорожания</t>
  </si>
  <si>
    <t>Первоначальный взнос в %</t>
  </si>
  <si>
    <t>опционально (рекомендации УК)</t>
  </si>
  <si>
    <t>кемп</t>
  </si>
  <si>
    <t>RTX 2060</t>
  </si>
  <si>
    <r>
      <rPr>
        <b/>
        <sz val="12"/>
        <rFont val="Calibri"/>
        <family val="2"/>
      </rPr>
      <t xml:space="preserve">ПК игровой на базе RTX 2060  + гарантия на сборку 36 мес </t>
    </r>
    <r>
      <rPr>
        <sz val="12"/>
        <rFont val="Calibri"/>
        <family val="2"/>
        <charset val="204"/>
      </rPr>
      <t>Intel	Core i5-10400F OEM
ASUS	ROG STRIX B560-E GAMING 
Kingston	16GB Kingston DDR4 3600 DIMM FURY Beast Black Gaming Memory
RTX2060 6GB GDDR6 192BIT 
Kingston	M.2 2280 250GB Kingston NV2 Client SSD SNV2S/250G
Deepcool	PK650D 650W, 80 PLUS Bronze
Deepcool	MATREXX 55 V3 ADD-RGB 3F
Deepcool	AK400 DIGITAL  + Win 10 Pro 
сборка/настройка/тестирование</t>
    </r>
    <r>
      <rPr>
        <sz val="12"/>
        <rFont val="Calibri"/>
        <family val="2"/>
      </rPr>
      <t xml:space="preserve">
</t>
    </r>
  </si>
  <si>
    <r>
      <rPr>
        <b/>
        <sz val="12"/>
        <rFont val="Calibri"/>
        <family val="2"/>
      </rPr>
      <t xml:space="preserve">ПК игровой на базе RTX 3060 + гарантия на сборку 36 мес </t>
    </r>
    <r>
      <rPr>
        <sz val="12"/>
        <rFont val="Calibri"/>
        <family val="2"/>
        <charset val="204"/>
      </rPr>
      <t xml:space="preserve">Intel	Core i5-10400F OEM
ASUS	ROG STRIX B560-E GAMING 
ASUS	RTX3060-O12G-V2 12GB GDDR6 192bit HDMI 3xDP
Kingston	M.2 2280 250GB Kingston NV2 Client SSD SNV2S/250G
Deepcool	AK400 DIGITAL 
Deepcool	PK650D 650W, 80 PLUS Bronze
Kingston	16GB Kingston DDR4 3600 DIMM FURY Beast Black Gaming Memory
Deepcool	MATREXX 55 V3 ADD-RGB 3F + Win 10 Pro </t>
    </r>
    <r>
      <rPr>
        <sz val="12"/>
        <rFont val="Calibri"/>
        <family val="2"/>
      </rPr>
      <t xml:space="preserve">
сборка/настройка/тестирование
</t>
    </r>
  </si>
  <si>
    <t>кресло khight outriger - yellow</t>
  </si>
  <si>
    <t>Оборудование кафе (микроволновка + холодильники)</t>
  </si>
  <si>
    <t>Период (месяц)</t>
  </si>
  <si>
    <t>Период (год)</t>
  </si>
  <si>
    <t>Локальная реклама клуба</t>
  </si>
  <si>
    <t>Федеральные турниры COLIZEUM</t>
  </si>
  <si>
    <t>Федеральные рекламные кампании (акции с селебрити, коллаборации с брендами, публикации в СМИ и медиа, офлайн активности, нативные размещения)</t>
  </si>
  <si>
    <t>Премиальное + POi размещение на Яндекс.Картах и 2ГИС</t>
  </si>
  <si>
    <t>Таргетированная реклама / Яндекс.Директ / Рекламные сетки</t>
  </si>
  <si>
    <t>Локальная реклама</t>
  </si>
  <si>
    <t>Инвестиции в маркетинг (1,8%)</t>
  </si>
  <si>
    <t>Работа с отзывами на Яндекс.Картах и 2ГИС</t>
  </si>
  <si>
    <t>Наушники ASUS ROG Delta core</t>
  </si>
  <si>
    <t>Наушники ASUS ROG Delta S</t>
  </si>
  <si>
    <t>Игровая мышь ROG Keris</t>
  </si>
  <si>
    <t>STRIX SCOPE NX TKL Игровая клавиатура</t>
  </si>
  <si>
    <t xml:space="preserve"> оборотный капитал - общаяя сумма барной продукции на остатках в закупочных ценах</t>
  </si>
  <si>
    <t>92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</si>
</sst>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-* #,##0.00\ _₽_-;\-* #,##0.00\ _₽_-;_-* &quot;-&quot;??\ _₽_-;_-@_-"/>
    <numFmt numFmtId="165" formatCode="_-* #,##0\ _₽_-;\-* #,##0\ _₽_-;_-* &quot;-&quot;??\ _₽_-;_-@_-"/>
    <numFmt numFmtId="166" formatCode="[$-419]mmmm\ yyyy;@"/>
    <numFmt numFmtId="167" formatCode="mmm\ yyyy;@"/>
    <numFmt numFmtId="168" formatCode="0.000%"/>
    <numFmt numFmtId="169" formatCode="#,##0_ ;\-#,##0\ "/>
    <numFmt numFmtId="170" formatCode="0.0%"/>
  </numFmts>
  <fonts count="5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  <font>
      <i/>
      <sz val="11"/>
      <color theme="0" tint="-0.499984740745262"/>
      <name val="Calibri"/>
      <family val="2"/>
      <charset val="204"/>
      <scheme val="minor"/>
    </font>
    <font>
      <i/>
      <sz val="11"/>
      <color theme="2" tint="-0.499984740745262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9"/>
      <color rgb="FF000000"/>
      <name val="Tahoma"/>
      <family val="2"/>
      <charset val="204"/>
    </font>
    <font>
      <sz val="9"/>
      <color rgb="FF000000"/>
      <name val="Tahoma"/>
      <family val="2"/>
      <charset val="204"/>
    </font>
    <font>
      <b/>
      <sz val="11"/>
      <color theme="0" tint="-0.499984740745262"/>
      <name val="Calibri"/>
      <family val="2"/>
      <charset val="204"/>
      <scheme val="minor"/>
    </font>
    <font>
      <b/>
      <sz val="11"/>
      <color theme="1" tint="0.499984740745262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i/>
      <sz val="11"/>
      <color theme="0"/>
      <name val="Calibri"/>
      <family val="2"/>
      <charset val="204"/>
      <scheme val="minor"/>
    </font>
    <font>
      <sz val="8"/>
      <name val="Calibri"/>
      <family val="2"/>
      <scheme val="minor"/>
    </font>
    <font>
      <b/>
      <sz val="11"/>
      <color rgb="FF11111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1"/>
      <color theme="0" tint="-0.14999847407452621"/>
      <name val="Calibri"/>
      <family val="2"/>
      <charset val="204"/>
      <scheme val="minor"/>
    </font>
    <font>
      <sz val="11"/>
      <color theme="0" tint="-0.499984740745262"/>
      <name val="Calibri"/>
      <family val="2"/>
      <charset val="204"/>
      <scheme val="minor"/>
    </font>
    <font>
      <b/>
      <sz val="11"/>
      <color theme="2" tint="-0.749992370372631"/>
      <name val="Calibri"/>
      <family val="2"/>
      <charset val="204"/>
      <scheme val="minor"/>
    </font>
    <font>
      <i/>
      <sz val="11"/>
      <color theme="2" tint="-0.74999237037263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1"/>
      <color theme="1" tint="0.499984740745262"/>
      <name val="Calibri"/>
      <family val="2"/>
      <charset val="204"/>
      <scheme val="minor"/>
    </font>
    <font>
      <sz val="11"/>
      <color theme="0" tint="-0.34998626667073579"/>
      <name val="Calibri"/>
      <family val="2"/>
      <charset val="204"/>
      <scheme val="minor"/>
    </font>
    <font>
      <i/>
      <sz val="11"/>
      <color theme="0" tint="-0.34998626667073579"/>
      <name val="Calibri"/>
      <family val="2"/>
      <charset val="204"/>
      <scheme val="minor"/>
    </font>
    <font>
      <b/>
      <sz val="11"/>
      <color theme="0" tint="-0.14999847407452621"/>
      <name val="Calibri"/>
      <family val="2"/>
      <charset val="204"/>
      <scheme val="minor"/>
    </font>
    <font>
      <b/>
      <sz val="11"/>
      <color theme="0" tint="-0.34998626667073579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2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sz val="12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2"/>
      <name val="Calibri"/>
      <family val="2"/>
      <charset val="204"/>
    </font>
    <font>
      <sz val="10"/>
      <color theme="1"/>
      <name val="Arial"/>
      <family val="2"/>
      <charset val="204"/>
    </font>
    <font>
      <sz val="12"/>
      <name val="Calibri"/>
      <family val="2"/>
    </font>
    <font>
      <b/>
      <sz val="12"/>
      <name val="Calibri"/>
      <family val="2"/>
    </font>
    <font>
      <b/>
      <sz val="12"/>
      <color rgb="FF000000"/>
      <name val="Calibri"/>
      <family val="2"/>
    </font>
    <font>
      <sz val="12"/>
      <color theme="1"/>
      <name val="Calibri"/>
      <family val="2"/>
      <scheme val="minor"/>
    </font>
    <font>
      <sz val="10"/>
      <color rgb="FF000000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4" tint="0.59999389629810485"/>
        <bgColor rgb="FFFFFFFF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51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theme="0"/>
      </right>
      <top/>
      <bottom style="hair">
        <color theme="0"/>
      </bottom>
      <diagonal/>
    </border>
    <border>
      <left style="hair">
        <color theme="0"/>
      </left>
      <right style="hair">
        <color theme="0"/>
      </right>
      <top/>
      <bottom style="hair">
        <color theme="0"/>
      </bottom>
      <diagonal/>
    </border>
    <border>
      <left style="hair">
        <color theme="0"/>
      </left>
      <right style="thin">
        <color indexed="64"/>
      </right>
      <top/>
      <bottom style="hair">
        <color theme="0"/>
      </bottom>
      <diagonal/>
    </border>
    <border>
      <left style="thin">
        <color indexed="64"/>
      </left>
      <right style="hair">
        <color theme="0"/>
      </right>
      <top style="hair">
        <color theme="0"/>
      </top>
      <bottom style="hair">
        <color theme="0"/>
      </bottom>
      <diagonal/>
    </border>
    <border>
      <left style="hair">
        <color theme="0"/>
      </left>
      <right style="hair">
        <color theme="0"/>
      </right>
      <top style="hair">
        <color theme="0"/>
      </top>
      <bottom style="hair">
        <color theme="0"/>
      </bottom>
      <diagonal/>
    </border>
    <border>
      <left style="hair">
        <color theme="0"/>
      </left>
      <right style="thin">
        <color indexed="64"/>
      </right>
      <top style="hair">
        <color theme="0"/>
      </top>
      <bottom style="hair">
        <color theme="0"/>
      </bottom>
      <diagonal/>
    </border>
    <border>
      <left style="thin">
        <color indexed="64"/>
      </left>
      <right style="hair">
        <color theme="0"/>
      </right>
      <top style="hair">
        <color theme="0"/>
      </top>
      <bottom style="thin">
        <color indexed="64"/>
      </bottom>
      <diagonal/>
    </border>
    <border>
      <left style="hair">
        <color theme="0"/>
      </left>
      <right style="hair">
        <color theme="0"/>
      </right>
      <top style="hair">
        <color theme="0"/>
      </top>
      <bottom style="thin">
        <color indexed="64"/>
      </bottom>
      <diagonal/>
    </border>
    <border>
      <left style="hair">
        <color theme="0"/>
      </left>
      <right style="thin">
        <color indexed="64"/>
      </right>
      <top style="hair">
        <color theme="0"/>
      </top>
      <bottom style="thin">
        <color indexed="64"/>
      </bottom>
      <diagonal/>
    </border>
    <border>
      <left style="thin">
        <color indexed="64"/>
      </left>
      <right style="hair">
        <color theme="0"/>
      </right>
      <top style="double">
        <color indexed="64"/>
      </top>
      <bottom style="hair">
        <color theme="0"/>
      </bottom>
      <diagonal/>
    </border>
    <border>
      <left style="hair">
        <color theme="0"/>
      </left>
      <right style="hair">
        <color theme="0"/>
      </right>
      <top style="double">
        <color indexed="64"/>
      </top>
      <bottom style="hair">
        <color theme="0"/>
      </bottom>
      <diagonal/>
    </border>
    <border>
      <left style="hair">
        <color theme="0"/>
      </left>
      <right style="thin">
        <color indexed="64"/>
      </right>
      <top style="double">
        <color indexed="64"/>
      </top>
      <bottom style="hair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AAAAAA"/>
      </left>
      <right style="thin">
        <color rgb="FF000000"/>
      </right>
      <top style="thin">
        <color rgb="FFAAAAAA"/>
      </top>
      <bottom style="thin">
        <color rgb="FFAAAAAA"/>
      </bottom>
      <diagonal/>
    </border>
    <border>
      <left style="thin">
        <color indexed="64"/>
      </left>
      <right style="hair">
        <color theme="0"/>
      </right>
      <top style="hair">
        <color theme="0"/>
      </top>
      <bottom/>
      <diagonal/>
    </border>
    <border>
      <left style="hair">
        <color theme="0"/>
      </left>
      <right style="hair">
        <color theme="0"/>
      </right>
      <top style="hair">
        <color theme="0"/>
      </top>
      <bottom/>
      <diagonal/>
    </border>
  </borders>
  <cellStyleXfs count="5">
    <xf numFmtId="0" fontId="0" fillId="0" borderId="0"/>
    <xf numFmtId="164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1" fillId="0" borderId="0" applyNumberFormat="0" applyFill="0" applyBorder="0" applyAlignment="0" applyProtection="0"/>
  </cellStyleXfs>
  <cellXfs count="351">
    <xf numFmtId="0" fontId="0" fillId="0" borderId="0" xfId="0"/>
    <xf numFmtId="0" fontId="17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0" fontId="19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17" fillId="0" borderId="1" xfId="0" applyFont="1" applyBorder="1" applyAlignment="1">
      <alignment vertical="center"/>
    </xf>
    <xf numFmtId="0" fontId="17" fillId="0" borderId="1" xfId="0" applyFont="1" applyBorder="1" applyAlignment="1">
      <alignment vertical="center" wrapText="1"/>
    </xf>
    <xf numFmtId="0" fontId="17" fillId="0" borderId="1" xfId="0" applyFont="1" applyBorder="1" applyAlignment="1">
      <alignment horizontal="center" vertical="center"/>
    </xf>
    <xf numFmtId="0" fontId="17" fillId="2" borderId="1" xfId="0" applyFont="1" applyFill="1" applyBorder="1" applyAlignment="1">
      <alignment vertical="center"/>
    </xf>
    <xf numFmtId="0" fontId="17" fillId="2" borderId="1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right" vertical="center"/>
    </xf>
    <xf numFmtId="0" fontId="17" fillId="6" borderId="1" xfId="0" applyFont="1" applyFill="1" applyBorder="1" applyAlignment="1">
      <alignment vertical="center"/>
    </xf>
    <xf numFmtId="0" fontId="17" fillId="6" borderId="1" xfId="0" applyFont="1" applyFill="1" applyBorder="1" applyAlignment="1">
      <alignment horizontal="center" vertical="center"/>
    </xf>
    <xf numFmtId="3" fontId="17" fillId="6" borderId="0" xfId="0" applyNumberFormat="1" applyFont="1" applyFill="1" applyAlignment="1">
      <alignment horizontal="right" vertical="center"/>
    </xf>
    <xf numFmtId="3" fontId="17" fillId="6" borderId="0" xfId="1" applyNumberFormat="1" applyFont="1" applyFill="1" applyBorder="1" applyAlignment="1">
      <alignment horizontal="right" vertical="center"/>
    </xf>
    <xf numFmtId="0" fontId="19" fillId="0" borderId="0" xfId="0" applyFont="1" applyAlignment="1">
      <alignment vertical="center" wrapText="1"/>
    </xf>
    <xf numFmtId="0" fontId="19" fillId="0" borderId="0" xfId="0" applyFont="1" applyAlignment="1">
      <alignment horizontal="center" vertical="center"/>
    </xf>
    <xf numFmtId="0" fontId="17" fillId="4" borderId="11" xfId="0" applyFont="1" applyFill="1" applyBorder="1"/>
    <xf numFmtId="3" fontId="17" fillId="4" borderId="11" xfId="0" applyNumberFormat="1" applyFont="1" applyFill="1" applyBorder="1" applyAlignment="1">
      <alignment horizontal="right" vertical="center"/>
    </xf>
    <xf numFmtId="0" fontId="23" fillId="0" borderId="0" xfId="0" applyFont="1" applyAlignment="1">
      <alignment vertical="center"/>
    </xf>
    <xf numFmtId="0" fontId="23" fillId="0" borderId="0" xfId="0" applyFont="1" applyAlignment="1">
      <alignment horizontal="center" vertical="center"/>
    </xf>
    <xf numFmtId="0" fontId="23" fillId="0" borderId="0" xfId="0" applyFont="1"/>
    <xf numFmtId="10" fontId="23" fillId="0" borderId="0" xfId="3" applyNumberFormat="1" applyFont="1"/>
    <xf numFmtId="0" fontId="23" fillId="0" borderId="0" xfId="0" applyFont="1" applyAlignment="1">
      <alignment vertical="center" wrapText="1"/>
    </xf>
    <xf numFmtId="0" fontId="22" fillId="0" borderId="0" xfId="0" applyFont="1" applyAlignment="1">
      <alignment horizontal="center" vertical="center"/>
    </xf>
    <xf numFmtId="0" fontId="24" fillId="0" borderId="0" xfId="0" applyFont="1" applyAlignment="1">
      <alignment vertical="center"/>
    </xf>
    <xf numFmtId="0" fontId="24" fillId="0" borderId="0" xfId="0" applyFont="1" applyAlignment="1">
      <alignment horizontal="center" vertical="center"/>
    </xf>
    <xf numFmtId="3" fontId="24" fillId="0" borderId="0" xfId="0" applyNumberFormat="1" applyFont="1" applyAlignment="1">
      <alignment horizontal="center" vertical="center"/>
    </xf>
    <xf numFmtId="9" fontId="23" fillId="0" borderId="0" xfId="0" applyNumberFormat="1" applyFont="1"/>
    <xf numFmtId="3" fontId="17" fillId="0" borderId="0" xfId="0" applyNumberFormat="1" applyFont="1" applyAlignment="1">
      <alignment horizontal="right" vertical="center"/>
    </xf>
    <xf numFmtId="3" fontId="17" fillId="0" borderId="0" xfId="1" applyNumberFormat="1" applyFont="1" applyFill="1" applyBorder="1" applyAlignment="1">
      <alignment horizontal="right" vertical="center"/>
    </xf>
    <xf numFmtId="3" fontId="17" fillId="0" borderId="1" xfId="0" applyNumberFormat="1" applyFont="1" applyBorder="1" applyAlignment="1">
      <alignment vertical="center"/>
    </xf>
    <xf numFmtId="0" fontId="22" fillId="0" borderId="0" xfId="0" applyFont="1" applyAlignment="1">
      <alignment vertical="center"/>
    </xf>
    <xf numFmtId="0" fontId="22" fillId="0" borderId="16" xfId="0" applyFont="1" applyBorder="1" applyAlignment="1">
      <alignment horizontal="center" vertical="center"/>
    </xf>
    <xf numFmtId="0" fontId="17" fillId="6" borderId="0" xfId="0" applyFont="1" applyFill="1" applyAlignment="1">
      <alignment vertical="center"/>
    </xf>
    <xf numFmtId="0" fontId="17" fillId="6" borderId="0" xfId="0" applyFont="1" applyFill="1" applyAlignment="1">
      <alignment horizontal="center" vertical="center"/>
    </xf>
    <xf numFmtId="9" fontId="17" fillId="9" borderId="0" xfId="3" applyFont="1" applyFill="1" applyBorder="1" applyAlignment="1">
      <alignment horizontal="center" vertical="center"/>
    </xf>
    <xf numFmtId="0" fontId="23" fillId="0" borderId="0" xfId="0" applyFont="1" applyAlignment="1">
      <alignment horizontal="center"/>
    </xf>
    <xf numFmtId="0" fontId="17" fillId="4" borderId="11" xfId="0" applyFont="1" applyFill="1" applyBorder="1" applyAlignment="1">
      <alignment horizontal="center"/>
    </xf>
    <xf numFmtId="3" fontId="17" fillId="6" borderId="1" xfId="0" applyNumberFormat="1" applyFont="1" applyFill="1" applyBorder="1" applyAlignment="1">
      <alignment vertical="center"/>
    </xf>
    <xf numFmtId="3" fontId="17" fillId="6" borderId="1" xfId="0" applyNumberFormat="1" applyFont="1" applyFill="1" applyBorder="1" applyAlignment="1">
      <alignment horizontal="center" vertical="center"/>
    </xf>
    <xf numFmtId="3" fontId="17" fillId="2" borderId="1" xfId="0" applyNumberFormat="1" applyFont="1" applyFill="1" applyBorder="1" applyAlignment="1">
      <alignment horizontal="center" vertical="center"/>
    </xf>
    <xf numFmtId="3" fontId="17" fillId="2" borderId="1" xfId="1" applyNumberFormat="1" applyFont="1" applyFill="1" applyBorder="1" applyAlignment="1">
      <alignment horizontal="center" vertical="center"/>
    </xf>
    <xf numFmtId="0" fontId="17" fillId="9" borderId="17" xfId="0" applyFont="1" applyFill="1" applyBorder="1" applyAlignment="1">
      <alignment horizontal="center" vertical="center" wrapText="1"/>
    </xf>
    <xf numFmtId="0" fontId="17" fillId="0" borderId="0" xfId="0" applyFont="1"/>
    <xf numFmtId="0" fontId="17" fillId="7" borderId="6" xfId="0" applyFont="1" applyFill="1" applyBorder="1" applyAlignment="1">
      <alignment vertical="center" wrapText="1"/>
    </xf>
    <xf numFmtId="0" fontId="31" fillId="10" borderId="18" xfId="0" applyFont="1" applyFill="1" applyBorder="1" applyAlignment="1">
      <alignment vertical="center"/>
    </xf>
    <xf numFmtId="0" fontId="31" fillId="10" borderId="19" xfId="0" applyFont="1" applyFill="1" applyBorder="1" applyAlignment="1">
      <alignment vertical="center"/>
    </xf>
    <xf numFmtId="0" fontId="31" fillId="10" borderId="20" xfId="0" applyFont="1" applyFill="1" applyBorder="1" applyAlignment="1">
      <alignment vertical="center"/>
    </xf>
    <xf numFmtId="3" fontId="32" fillId="10" borderId="20" xfId="0" applyNumberFormat="1" applyFont="1" applyFill="1" applyBorder="1" applyAlignment="1">
      <alignment vertical="center"/>
    </xf>
    <xf numFmtId="0" fontId="31" fillId="10" borderId="18" xfId="0" applyFont="1" applyFill="1" applyBorder="1" applyAlignment="1">
      <alignment horizontal="left" vertical="center" wrapText="1"/>
    </xf>
    <xf numFmtId="0" fontId="31" fillId="10" borderId="20" xfId="0" applyFont="1" applyFill="1" applyBorder="1" applyAlignment="1">
      <alignment horizontal="center" vertical="center"/>
    </xf>
    <xf numFmtId="0" fontId="17" fillId="2" borderId="21" xfId="0" applyFont="1" applyFill="1" applyBorder="1" applyAlignment="1">
      <alignment vertical="center"/>
    </xf>
    <xf numFmtId="3" fontId="17" fillId="2" borderId="22" xfId="0" applyNumberFormat="1" applyFont="1" applyFill="1" applyBorder="1" applyAlignment="1">
      <alignment vertical="center"/>
    </xf>
    <xf numFmtId="3" fontId="17" fillId="2" borderId="23" xfId="0" applyNumberFormat="1" applyFont="1" applyFill="1" applyBorder="1" applyAlignment="1">
      <alignment vertical="center"/>
    </xf>
    <xf numFmtId="3" fontId="17" fillId="0" borderId="26" xfId="0" applyNumberFormat="1" applyFont="1" applyBorder="1" applyAlignment="1">
      <alignment vertical="center"/>
    </xf>
    <xf numFmtId="3" fontId="17" fillId="0" borderId="29" xfId="0" applyNumberFormat="1" applyFont="1" applyBorder="1" applyAlignment="1">
      <alignment vertical="center"/>
    </xf>
    <xf numFmtId="3" fontId="17" fillId="0" borderId="32" xfId="0" applyNumberFormat="1" applyFont="1" applyBorder="1" applyAlignment="1">
      <alignment vertical="center"/>
    </xf>
    <xf numFmtId="0" fontId="20" fillId="0" borderId="33" xfId="0" applyFont="1" applyBorder="1" applyAlignment="1">
      <alignment vertical="center"/>
    </xf>
    <xf numFmtId="0" fontId="20" fillId="0" borderId="27" xfId="0" applyFont="1" applyBorder="1" applyAlignment="1">
      <alignment vertical="center"/>
    </xf>
    <xf numFmtId="0" fontId="20" fillId="0" borderId="30" xfId="0" applyFont="1" applyBorder="1" applyAlignment="1">
      <alignment vertical="center"/>
    </xf>
    <xf numFmtId="0" fontId="19" fillId="0" borderId="38" xfId="0" applyFont="1" applyBorder="1" applyAlignment="1">
      <alignment vertical="center"/>
    </xf>
    <xf numFmtId="0" fontId="19" fillId="0" borderId="40" xfId="0" applyFont="1" applyBorder="1" applyAlignment="1">
      <alignment vertical="center"/>
    </xf>
    <xf numFmtId="0" fontId="19" fillId="0" borderId="14" xfId="0" applyFont="1" applyBorder="1" applyAlignment="1">
      <alignment vertical="center"/>
    </xf>
    <xf numFmtId="9" fontId="19" fillId="0" borderId="2" xfId="3" applyFont="1" applyBorder="1" applyAlignment="1">
      <alignment vertical="center"/>
    </xf>
    <xf numFmtId="9" fontId="19" fillId="0" borderId="15" xfId="3" applyFont="1" applyBorder="1" applyAlignment="1">
      <alignment vertical="center"/>
    </xf>
    <xf numFmtId="0" fontId="20" fillId="0" borderId="36" xfId="0" applyFont="1" applyBorder="1" applyAlignment="1">
      <alignment vertical="center"/>
    </xf>
    <xf numFmtId="0" fontId="17" fillId="0" borderId="39" xfId="0" applyFont="1" applyBorder="1" applyAlignment="1">
      <alignment horizontal="center" vertical="center"/>
    </xf>
    <xf numFmtId="0" fontId="17" fillId="0" borderId="36" xfId="0" applyFont="1" applyBorder="1" applyAlignment="1">
      <alignment vertical="center" wrapText="1"/>
    </xf>
    <xf numFmtId="0" fontId="17" fillId="0" borderId="36" xfId="0" applyFont="1" applyBorder="1" applyAlignment="1">
      <alignment horizontal="center" vertical="center"/>
    </xf>
    <xf numFmtId="0" fontId="17" fillId="0" borderId="36" xfId="0" applyFont="1" applyBorder="1" applyAlignment="1">
      <alignment vertical="center"/>
    </xf>
    <xf numFmtId="0" fontId="17" fillId="0" borderId="38" xfId="0" applyFont="1" applyBorder="1" applyAlignment="1">
      <alignment vertical="center"/>
    </xf>
    <xf numFmtId="9" fontId="17" fillId="0" borderId="36" xfId="0" applyNumberFormat="1" applyFont="1" applyBorder="1" applyAlignment="1">
      <alignment vertical="center"/>
    </xf>
    <xf numFmtId="0" fontId="17" fillId="8" borderId="0" xfId="0" applyFont="1" applyFill="1" applyAlignment="1">
      <alignment horizontal="center" vertical="center"/>
    </xf>
    <xf numFmtId="0" fontId="17" fillId="8" borderId="0" xfId="0" applyFont="1" applyFill="1" applyAlignment="1">
      <alignment vertical="center"/>
    </xf>
    <xf numFmtId="165" fontId="17" fillId="8" borderId="7" xfId="1" applyNumberFormat="1" applyFont="1" applyFill="1" applyBorder="1" applyAlignment="1">
      <alignment horizontal="center" vertical="center"/>
    </xf>
    <xf numFmtId="3" fontId="17" fillId="8" borderId="13" xfId="0" applyNumberFormat="1" applyFont="1" applyFill="1" applyBorder="1" applyAlignment="1">
      <alignment vertical="center"/>
    </xf>
    <xf numFmtId="3" fontId="17" fillId="8" borderId="15" xfId="0" applyNumberFormat="1" applyFont="1" applyFill="1" applyBorder="1" applyAlignment="1">
      <alignment vertical="center"/>
    </xf>
    <xf numFmtId="0" fontId="32" fillId="0" borderId="0" xfId="0" applyFont="1" applyAlignment="1">
      <alignment vertical="center"/>
    </xf>
    <xf numFmtId="0" fontId="33" fillId="0" borderId="0" xfId="0" applyFont="1" applyAlignment="1">
      <alignment vertical="center"/>
    </xf>
    <xf numFmtId="0" fontId="19" fillId="0" borderId="39" xfId="0" applyFont="1" applyBorder="1" applyAlignment="1">
      <alignment vertical="center"/>
    </xf>
    <xf numFmtId="0" fontId="19" fillId="8" borderId="39" xfId="0" applyFont="1" applyFill="1" applyBorder="1" applyAlignment="1">
      <alignment vertical="center"/>
    </xf>
    <xf numFmtId="0" fontId="19" fillId="8" borderId="40" xfId="0" applyFont="1" applyFill="1" applyBorder="1" applyAlignment="1">
      <alignment vertical="center"/>
    </xf>
    <xf numFmtId="0" fontId="16" fillId="0" borderId="0" xfId="0" applyFont="1" applyAlignment="1">
      <alignment vertical="center"/>
    </xf>
    <xf numFmtId="0" fontId="35" fillId="0" borderId="0" xfId="0" applyFont="1" applyAlignment="1">
      <alignment vertical="center"/>
    </xf>
    <xf numFmtId="0" fontId="36" fillId="0" borderId="0" xfId="4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16" fillId="0" borderId="14" xfId="0" applyFont="1" applyBorder="1" applyAlignment="1">
      <alignment vertical="center" wrapText="1"/>
    </xf>
    <xf numFmtId="0" fontId="16" fillId="0" borderId="12" xfId="0" applyFont="1" applyBorder="1" applyAlignment="1">
      <alignment vertical="center"/>
    </xf>
    <xf numFmtId="0" fontId="16" fillId="0" borderId="14" xfId="0" applyFont="1" applyBorder="1" applyAlignment="1">
      <alignment vertical="center"/>
    </xf>
    <xf numFmtId="0" fontId="31" fillId="3" borderId="0" xfId="0" applyFont="1" applyFill="1" applyAlignment="1">
      <alignment vertical="center"/>
    </xf>
    <xf numFmtId="0" fontId="31" fillId="3" borderId="0" xfId="0" applyFont="1" applyFill="1" applyAlignment="1">
      <alignment horizontal="center" vertical="center"/>
    </xf>
    <xf numFmtId="0" fontId="17" fillId="0" borderId="0" xfId="0" applyFont="1" applyAlignment="1">
      <alignment horizontal="center" vertical="center" wrapText="1"/>
    </xf>
    <xf numFmtId="3" fontId="16" fillId="0" borderId="0" xfId="0" applyNumberFormat="1" applyFont="1" applyAlignment="1">
      <alignment vertical="center"/>
    </xf>
    <xf numFmtId="0" fontId="37" fillId="0" borderId="0" xfId="0" applyFont="1" applyAlignment="1">
      <alignment vertical="center"/>
    </xf>
    <xf numFmtId="0" fontId="37" fillId="0" borderId="0" xfId="0" applyFont="1" applyAlignment="1">
      <alignment horizontal="center" vertical="center"/>
    </xf>
    <xf numFmtId="0" fontId="38" fillId="0" borderId="0" xfId="0" applyFont="1" applyAlignment="1">
      <alignment vertical="center"/>
    </xf>
    <xf numFmtId="3" fontId="17" fillId="0" borderId="0" xfId="0" applyNumberFormat="1" applyFont="1" applyAlignment="1">
      <alignment vertical="center"/>
    </xf>
    <xf numFmtId="0" fontId="31" fillId="0" borderId="0" xfId="0" applyFont="1" applyAlignment="1">
      <alignment vertical="center"/>
    </xf>
    <xf numFmtId="10" fontId="23" fillId="0" borderId="0" xfId="3" applyNumberFormat="1" applyFont="1" applyBorder="1"/>
    <xf numFmtId="0" fontId="39" fillId="0" borderId="0" xfId="0" applyFont="1" applyAlignment="1">
      <alignment vertical="center"/>
    </xf>
    <xf numFmtId="0" fontId="40" fillId="0" borderId="0" xfId="0" applyFont="1" applyAlignment="1">
      <alignment vertical="center"/>
    </xf>
    <xf numFmtId="0" fontId="39" fillId="0" borderId="0" xfId="0" applyFont="1" applyAlignment="1">
      <alignment horizontal="center" vertical="center"/>
    </xf>
    <xf numFmtId="165" fontId="40" fillId="0" borderId="0" xfId="1" applyNumberFormat="1" applyFont="1" applyAlignment="1">
      <alignment vertical="center"/>
    </xf>
    <xf numFmtId="165" fontId="40" fillId="0" borderId="0" xfId="1" applyNumberFormat="1" applyFont="1" applyBorder="1" applyAlignment="1">
      <alignment vertical="center"/>
    </xf>
    <xf numFmtId="167" fontId="39" fillId="0" borderId="0" xfId="0" applyNumberFormat="1" applyFont="1" applyAlignment="1">
      <alignment vertical="center"/>
    </xf>
    <xf numFmtId="0" fontId="41" fillId="6" borderId="0" xfId="0" applyFont="1" applyFill="1"/>
    <xf numFmtId="3" fontId="17" fillId="6" borderId="0" xfId="0" applyNumberFormat="1" applyFont="1" applyFill="1" applyAlignment="1">
      <alignment vertical="center"/>
    </xf>
    <xf numFmtId="9" fontId="19" fillId="5" borderId="0" xfId="0" applyNumberFormat="1" applyFont="1" applyFill="1" applyAlignment="1">
      <alignment vertical="center"/>
    </xf>
    <xf numFmtId="9" fontId="19" fillId="0" borderId="0" xfId="0" applyNumberFormat="1" applyFont="1" applyAlignment="1">
      <alignment vertical="center"/>
    </xf>
    <xf numFmtId="0" fontId="41" fillId="0" borderId="0" xfId="0" applyFont="1"/>
    <xf numFmtId="164" fontId="19" fillId="0" borderId="0" xfId="1" applyFont="1" applyAlignment="1">
      <alignment vertical="center"/>
    </xf>
    <xf numFmtId="164" fontId="19" fillId="0" borderId="0" xfId="1" applyFont="1" applyBorder="1" applyAlignment="1">
      <alignment vertical="center"/>
    </xf>
    <xf numFmtId="3" fontId="42" fillId="0" borderId="0" xfId="0" applyNumberFormat="1" applyFont="1"/>
    <xf numFmtId="3" fontId="17" fillId="2" borderId="1" xfId="0" applyNumberFormat="1" applyFont="1" applyFill="1" applyBorder="1" applyAlignment="1">
      <alignment horizontal="right" vertical="center"/>
    </xf>
    <xf numFmtId="3" fontId="17" fillId="0" borderId="0" xfId="1" applyNumberFormat="1" applyFont="1"/>
    <xf numFmtId="165" fontId="17" fillId="2" borderId="1" xfId="0" applyNumberFormat="1" applyFont="1" applyFill="1" applyBorder="1" applyAlignment="1">
      <alignment horizontal="right" vertical="center"/>
    </xf>
    <xf numFmtId="0" fontId="16" fillId="8" borderId="36" xfId="0" applyFont="1" applyFill="1" applyBorder="1" applyAlignment="1">
      <alignment vertical="center"/>
    </xf>
    <xf numFmtId="0" fontId="35" fillId="0" borderId="36" xfId="0" applyFont="1" applyBorder="1" applyAlignment="1">
      <alignment vertical="center"/>
    </xf>
    <xf numFmtId="0" fontId="36" fillId="0" borderId="36" xfId="4" applyFont="1" applyBorder="1" applyAlignment="1">
      <alignment horizontal="left" vertical="center"/>
    </xf>
    <xf numFmtId="0" fontId="16" fillId="0" borderId="36" xfId="0" applyFont="1" applyBorder="1" applyAlignment="1">
      <alignment vertical="center"/>
    </xf>
    <xf numFmtId="0" fontId="43" fillId="0" borderId="36" xfId="0" applyFont="1" applyBorder="1" applyAlignment="1">
      <alignment vertical="center"/>
    </xf>
    <xf numFmtId="0" fontId="16" fillId="0" borderId="43" xfId="0" applyFont="1" applyBorder="1" applyAlignment="1">
      <alignment vertical="center"/>
    </xf>
    <xf numFmtId="0" fontId="32" fillId="0" borderId="42" xfId="0" applyFont="1" applyBorder="1" applyAlignment="1">
      <alignment vertical="center"/>
    </xf>
    <xf numFmtId="0" fontId="32" fillId="0" borderId="36" xfId="0" applyFont="1" applyBorder="1" applyAlignment="1">
      <alignment vertical="center"/>
    </xf>
    <xf numFmtId="0" fontId="16" fillId="8" borderId="38" xfId="0" applyFont="1" applyFill="1" applyBorder="1" applyAlignment="1">
      <alignment vertical="center"/>
    </xf>
    <xf numFmtId="0" fontId="16" fillId="0" borderId="37" xfId="0" applyFont="1" applyBorder="1" applyAlignment="1">
      <alignment vertical="center"/>
    </xf>
    <xf numFmtId="0" fontId="16" fillId="0" borderId="37" xfId="0" applyFont="1" applyBorder="1" applyAlignment="1">
      <alignment horizontal="center" vertical="center"/>
    </xf>
    <xf numFmtId="0" fontId="43" fillId="0" borderId="38" xfId="0" applyFont="1" applyBorder="1" applyAlignment="1">
      <alignment vertical="center"/>
    </xf>
    <xf numFmtId="0" fontId="16" fillId="0" borderId="38" xfId="0" applyFont="1" applyBorder="1" applyAlignment="1">
      <alignment vertical="center"/>
    </xf>
    <xf numFmtId="0" fontId="16" fillId="0" borderId="40" xfId="0" applyFont="1" applyBorder="1" applyAlignment="1">
      <alignment vertical="center"/>
    </xf>
    <xf numFmtId="0" fontId="32" fillId="0" borderId="44" xfId="0" applyFont="1" applyBorder="1" applyAlignment="1">
      <alignment vertical="center"/>
    </xf>
    <xf numFmtId="0" fontId="32" fillId="0" borderId="37" xfId="0" applyFont="1" applyBorder="1" applyAlignment="1">
      <alignment vertical="center"/>
    </xf>
    <xf numFmtId="0" fontId="16" fillId="8" borderId="39" xfId="0" applyFont="1" applyFill="1" applyBorder="1" applyAlignment="1">
      <alignment vertical="center"/>
    </xf>
    <xf numFmtId="0" fontId="16" fillId="8" borderId="40" xfId="0" applyFont="1" applyFill="1" applyBorder="1" applyAlignment="1">
      <alignment vertical="center"/>
    </xf>
    <xf numFmtId="0" fontId="43" fillId="0" borderId="39" xfId="0" applyFont="1" applyBorder="1" applyAlignment="1">
      <alignment vertical="center"/>
    </xf>
    <xf numFmtId="0" fontId="16" fillId="0" borderId="39" xfId="0" applyFont="1" applyBorder="1" applyAlignment="1">
      <alignment vertical="center"/>
    </xf>
    <xf numFmtId="3" fontId="43" fillId="0" borderId="39" xfId="3" applyNumberFormat="1" applyFont="1" applyFill="1" applyBorder="1" applyAlignment="1">
      <alignment vertical="center"/>
    </xf>
    <xf numFmtId="3" fontId="16" fillId="0" borderId="25" xfId="0" applyNumberFormat="1" applyFont="1" applyBorder="1" applyAlignment="1">
      <alignment vertical="center"/>
    </xf>
    <xf numFmtId="9" fontId="43" fillId="0" borderId="38" xfId="3" applyFont="1" applyFill="1" applyBorder="1" applyAlignment="1">
      <alignment vertical="center"/>
    </xf>
    <xf numFmtId="3" fontId="32" fillId="0" borderId="0" xfId="0" applyNumberFormat="1" applyFont="1" applyAlignment="1">
      <alignment vertical="center"/>
    </xf>
    <xf numFmtId="9" fontId="32" fillId="0" borderId="0" xfId="3" applyFont="1" applyFill="1" applyBorder="1" applyAlignment="1">
      <alignment vertical="center"/>
    </xf>
    <xf numFmtId="3" fontId="16" fillId="0" borderId="28" xfId="0" applyNumberFormat="1" applyFont="1" applyBorder="1" applyAlignment="1">
      <alignment vertical="center"/>
    </xf>
    <xf numFmtId="3" fontId="16" fillId="0" borderId="31" xfId="0" applyNumberFormat="1" applyFont="1" applyBorder="1" applyAlignment="1">
      <alignment vertical="center"/>
    </xf>
    <xf numFmtId="0" fontId="16" fillId="0" borderId="41" xfId="0" applyFont="1" applyBorder="1" applyAlignment="1">
      <alignment vertical="center"/>
    </xf>
    <xf numFmtId="3" fontId="43" fillId="0" borderId="38" xfId="3" applyNumberFormat="1" applyFont="1" applyFill="1" applyBorder="1" applyAlignment="1">
      <alignment vertical="center"/>
    </xf>
    <xf numFmtId="0" fontId="32" fillId="0" borderId="45" xfId="0" applyFont="1" applyBorder="1" applyAlignment="1">
      <alignment vertical="center"/>
    </xf>
    <xf numFmtId="0" fontId="32" fillId="0" borderId="41" xfId="0" applyFont="1" applyBorder="1" applyAlignment="1">
      <alignment vertical="center"/>
    </xf>
    <xf numFmtId="3" fontId="16" fillId="0" borderId="34" xfId="0" applyNumberFormat="1" applyFont="1" applyBorder="1" applyAlignment="1">
      <alignment vertical="center"/>
    </xf>
    <xf numFmtId="3" fontId="16" fillId="0" borderId="35" xfId="0" applyNumberFormat="1" applyFont="1" applyBorder="1" applyAlignment="1">
      <alignment vertical="center"/>
    </xf>
    <xf numFmtId="3" fontId="16" fillId="0" borderId="29" xfId="0" applyNumberFormat="1" applyFont="1" applyBorder="1" applyAlignment="1">
      <alignment vertical="center"/>
    </xf>
    <xf numFmtId="3" fontId="16" fillId="0" borderId="36" xfId="0" applyNumberFormat="1" applyFont="1" applyBorder="1" applyAlignment="1">
      <alignment vertical="center"/>
    </xf>
    <xf numFmtId="0" fontId="32" fillId="8" borderId="39" xfId="0" applyFont="1" applyFill="1" applyBorder="1" applyAlignment="1">
      <alignment vertical="center"/>
    </xf>
    <xf numFmtId="0" fontId="32" fillId="8" borderId="38" xfId="0" applyFont="1" applyFill="1" applyBorder="1" applyAlignment="1">
      <alignment vertical="center"/>
    </xf>
    <xf numFmtId="3" fontId="33" fillId="0" borderId="37" xfId="0" applyNumberFormat="1" applyFont="1" applyBorder="1" applyAlignment="1">
      <alignment vertical="center"/>
    </xf>
    <xf numFmtId="3" fontId="32" fillId="0" borderId="38" xfId="3" applyNumberFormat="1" applyFont="1" applyFill="1" applyBorder="1" applyAlignment="1">
      <alignment vertical="center"/>
    </xf>
    <xf numFmtId="0" fontId="32" fillId="0" borderId="38" xfId="0" applyFont="1" applyBorder="1" applyAlignment="1">
      <alignment vertical="center"/>
    </xf>
    <xf numFmtId="0" fontId="32" fillId="0" borderId="40" xfId="0" applyFont="1" applyBorder="1" applyAlignment="1">
      <alignment vertical="center"/>
    </xf>
    <xf numFmtId="0" fontId="44" fillId="0" borderId="38" xfId="0" applyFont="1" applyBorder="1" applyAlignment="1">
      <alignment vertical="center"/>
    </xf>
    <xf numFmtId="3" fontId="16" fillId="0" borderId="2" xfId="0" applyNumberFormat="1" applyFont="1" applyBorder="1" applyAlignment="1">
      <alignment vertical="center"/>
    </xf>
    <xf numFmtId="3" fontId="16" fillId="0" borderId="15" xfId="0" applyNumberFormat="1" applyFont="1" applyBorder="1" applyAlignment="1">
      <alignment vertical="center"/>
    </xf>
    <xf numFmtId="3" fontId="16" fillId="0" borderId="41" xfId="0" applyNumberFormat="1" applyFont="1" applyBorder="1" applyAlignment="1">
      <alignment vertical="center"/>
    </xf>
    <xf numFmtId="3" fontId="16" fillId="0" borderId="13" xfId="0" applyNumberFormat="1" applyFont="1" applyBorder="1" applyAlignment="1">
      <alignment vertical="center"/>
    </xf>
    <xf numFmtId="3" fontId="32" fillId="0" borderId="36" xfId="0" applyNumberFormat="1" applyFont="1" applyBorder="1" applyAlignment="1">
      <alignment vertical="center"/>
    </xf>
    <xf numFmtId="0" fontId="16" fillId="7" borderId="3" xfId="0" applyFont="1" applyFill="1" applyBorder="1" applyAlignment="1">
      <alignment vertical="center" wrapText="1"/>
    </xf>
    <xf numFmtId="0" fontId="16" fillId="8" borderId="4" xfId="0" applyFont="1" applyFill="1" applyBorder="1" applyAlignment="1">
      <alignment horizontal="center" vertical="center"/>
    </xf>
    <xf numFmtId="0" fontId="16" fillId="8" borderId="4" xfId="0" applyFont="1" applyFill="1" applyBorder="1" applyAlignment="1">
      <alignment vertical="center"/>
    </xf>
    <xf numFmtId="9" fontId="16" fillId="8" borderId="5" xfId="0" applyNumberFormat="1" applyFont="1" applyFill="1" applyBorder="1" applyAlignment="1">
      <alignment horizontal="center" vertical="center"/>
    </xf>
    <xf numFmtId="0" fontId="16" fillId="7" borderId="6" xfId="0" applyFont="1" applyFill="1" applyBorder="1" applyAlignment="1">
      <alignment vertical="center" wrapText="1"/>
    </xf>
    <xf numFmtId="0" fontId="16" fillId="8" borderId="0" xfId="0" applyFont="1" applyFill="1" applyAlignment="1">
      <alignment horizontal="center" vertical="center"/>
    </xf>
    <xf numFmtId="0" fontId="16" fillId="8" borderId="0" xfId="0" applyFont="1" applyFill="1" applyAlignment="1">
      <alignment vertical="center"/>
    </xf>
    <xf numFmtId="169" fontId="16" fillId="8" borderId="7" xfId="0" applyNumberFormat="1" applyFont="1" applyFill="1" applyBorder="1" applyAlignment="1">
      <alignment horizontal="center" vertical="center"/>
    </xf>
    <xf numFmtId="165" fontId="16" fillId="8" borderId="7" xfId="1" applyNumberFormat="1" applyFont="1" applyFill="1" applyBorder="1" applyAlignment="1">
      <alignment horizontal="center" vertical="center"/>
    </xf>
    <xf numFmtId="0" fontId="16" fillId="7" borderId="8" xfId="0" applyFont="1" applyFill="1" applyBorder="1" applyAlignment="1">
      <alignment vertical="center" wrapText="1"/>
    </xf>
    <xf numFmtId="0" fontId="16" fillId="8" borderId="9" xfId="0" applyFont="1" applyFill="1" applyBorder="1" applyAlignment="1">
      <alignment horizontal="center" vertical="center"/>
    </xf>
    <xf numFmtId="0" fontId="16" fillId="8" borderId="9" xfId="0" applyFont="1" applyFill="1" applyBorder="1" applyAlignment="1">
      <alignment vertical="center"/>
    </xf>
    <xf numFmtId="9" fontId="16" fillId="8" borderId="10" xfId="3" applyFont="1" applyFill="1" applyBorder="1" applyAlignment="1">
      <alignment horizontal="center" vertical="center"/>
    </xf>
    <xf numFmtId="0" fontId="16" fillId="7" borderId="12" xfId="0" applyFont="1" applyFill="1" applyBorder="1" applyAlignment="1">
      <alignment vertical="center"/>
    </xf>
    <xf numFmtId="0" fontId="16" fillId="7" borderId="14" xfId="0" applyFont="1" applyFill="1" applyBorder="1" applyAlignment="1">
      <alignment vertical="center"/>
    </xf>
    <xf numFmtId="3" fontId="16" fillId="8" borderId="13" xfId="0" applyNumberFormat="1" applyFont="1" applyFill="1" applyBorder="1" applyAlignment="1">
      <alignment vertical="center"/>
    </xf>
    <xf numFmtId="0" fontId="16" fillId="7" borderId="12" xfId="0" applyFont="1" applyFill="1" applyBorder="1" applyAlignment="1">
      <alignment vertical="center" wrapText="1"/>
    </xf>
    <xf numFmtId="3" fontId="16" fillId="0" borderId="38" xfId="0" applyNumberFormat="1" applyFont="1" applyBorder="1" applyAlignment="1">
      <alignment vertical="center"/>
    </xf>
    <xf numFmtId="0" fontId="32" fillId="0" borderId="39" xfId="0" applyFont="1" applyBorder="1" applyAlignment="1">
      <alignment vertical="center"/>
    </xf>
    <xf numFmtId="0" fontId="31" fillId="8" borderId="39" xfId="0" applyFont="1" applyFill="1" applyBorder="1" applyAlignment="1">
      <alignment vertical="center"/>
    </xf>
    <xf numFmtId="0" fontId="31" fillId="8" borderId="40" xfId="0" applyFont="1" applyFill="1" applyBorder="1" applyAlignment="1">
      <alignment vertical="center"/>
    </xf>
    <xf numFmtId="0" fontId="46" fillId="0" borderId="39" xfId="0" applyFont="1" applyBorder="1" applyAlignment="1">
      <alignment vertical="center"/>
    </xf>
    <xf numFmtId="0" fontId="46" fillId="0" borderId="38" xfId="0" applyFont="1" applyBorder="1" applyAlignment="1">
      <alignment vertical="center"/>
    </xf>
    <xf numFmtId="0" fontId="31" fillId="0" borderId="38" xfId="0" applyFont="1" applyBorder="1" applyAlignment="1">
      <alignment vertical="center"/>
    </xf>
    <xf numFmtId="0" fontId="31" fillId="0" borderId="40" xfId="0" applyFont="1" applyBorder="1" applyAlignment="1">
      <alignment vertical="center"/>
    </xf>
    <xf numFmtId="0" fontId="31" fillId="0" borderId="39" xfId="0" applyFont="1" applyBorder="1" applyAlignment="1">
      <alignment vertical="center"/>
    </xf>
    <xf numFmtId="0" fontId="47" fillId="0" borderId="24" xfId="0" applyFont="1" applyBorder="1" applyAlignment="1">
      <alignment vertical="center"/>
    </xf>
    <xf numFmtId="0" fontId="47" fillId="0" borderId="27" xfId="0" applyFont="1" applyBorder="1" applyAlignment="1">
      <alignment vertical="center"/>
    </xf>
    <xf numFmtId="0" fontId="47" fillId="0" borderId="30" xfId="0" applyFont="1" applyBorder="1" applyAlignment="1">
      <alignment vertical="center"/>
    </xf>
    <xf numFmtId="0" fontId="17" fillId="11" borderId="14" xfId="0" applyFont="1" applyFill="1" applyBorder="1" applyAlignment="1">
      <alignment vertical="center" wrapText="1"/>
    </xf>
    <xf numFmtId="3" fontId="17" fillId="11" borderId="15" xfId="0" applyNumberFormat="1" applyFont="1" applyFill="1" applyBorder="1" applyAlignment="1">
      <alignment vertical="center"/>
    </xf>
    <xf numFmtId="0" fontId="17" fillId="0" borderId="0" xfId="0" applyFont="1" applyAlignment="1">
      <alignment vertical="center" wrapText="1"/>
    </xf>
    <xf numFmtId="0" fontId="17" fillId="6" borderId="0" xfId="0" applyFont="1" applyFill="1"/>
    <xf numFmtId="9" fontId="17" fillId="9" borderId="0" xfId="0" applyNumberFormat="1" applyFont="1" applyFill="1" applyAlignment="1">
      <alignment horizontal="center" vertical="center"/>
    </xf>
    <xf numFmtId="0" fontId="17" fillId="6" borderId="0" xfId="0" applyFont="1" applyFill="1" applyAlignment="1">
      <alignment horizontal="center"/>
    </xf>
    <xf numFmtId="3" fontId="17" fillId="6" borderId="0" xfId="0" applyNumberFormat="1" applyFont="1" applyFill="1"/>
    <xf numFmtId="164" fontId="19" fillId="0" borderId="0" xfId="1" applyFont="1" applyFill="1" applyAlignment="1">
      <alignment vertical="center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166" fontId="15" fillId="0" borderId="0" xfId="0" applyNumberFormat="1" applyFont="1" applyAlignment="1">
      <alignment vertical="center"/>
    </xf>
    <xf numFmtId="0" fontId="15" fillId="0" borderId="1" xfId="0" applyFont="1" applyBorder="1" applyAlignment="1">
      <alignment vertical="center"/>
    </xf>
    <xf numFmtId="0" fontId="15" fillId="0" borderId="0" xfId="0" applyFont="1" applyAlignment="1">
      <alignment vertical="center" wrapText="1"/>
    </xf>
    <xf numFmtId="3" fontId="15" fillId="9" borderId="0" xfId="0" applyNumberFormat="1" applyFont="1" applyFill="1" applyAlignment="1">
      <alignment horizontal="center" vertical="center"/>
    </xf>
    <xf numFmtId="3" fontId="15" fillId="9" borderId="0" xfId="1" applyNumberFormat="1" applyFont="1" applyFill="1" applyAlignment="1">
      <alignment horizontal="center" vertical="center"/>
    </xf>
    <xf numFmtId="9" fontId="15" fillId="9" borderId="0" xfId="0" applyNumberFormat="1" applyFont="1" applyFill="1" applyAlignment="1">
      <alignment horizontal="center" vertical="center"/>
    </xf>
    <xf numFmtId="9" fontId="15" fillId="0" borderId="0" xfId="0" applyNumberFormat="1" applyFont="1" applyAlignment="1">
      <alignment horizontal="center" vertical="center"/>
    </xf>
    <xf numFmtId="0" fontId="15" fillId="9" borderId="0" xfId="0" applyFont="1" applyFill="1" applyAlignment="1">
      <alignment horizontal="center" vertical="center"/>
    </xf>
    <xf numFmtId="9" fontId="15" fillId="9" borderId="0" xfId="3" applyFont="1" applyFill="1" applyAlignment="1">
      <alignment horizontal="center" vertical="center"/>
    </xf>
    <xf numFmtId="169" fontId="15" fillId="9" borderId="0" xfId="1" applyNumberFormat="1" applyFont="1" applyFill="1" applyAlignment="1">
      <alignment horizontal="center" vertical="center"/>
    </xf>
    <xf numFmtId="0" fontId="15" fillId="9" borderId="0" xfId="0" applyFont="1" applyFill="1" applyAlignment="1">
      <alignment vertical="center"/>
    </xf>
    <xf numFmtId="3" fontId="15" fillId="0" borderId="0" xfId="0" applyNumberFormat="1" applyFont="1" applyAlignment="1">
      <alignment horizontal="center" vertical="center"/>
    </xf>
    <xf numFmtId="169" fontId="15" fillId="0" borderId="0" xfId="0" applyNumberFormat="1" applyFont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9" fontId="15" fillId="0" borderId="0" xfId="3" applyFont="1" applyFill="1" applyAlignment="1">
      <alignment horizontal="center" vertical="center"/>
    </xf>
    <xf numFmtId="3" fontId="15" fillId="0" borderId="0" xfId="0" applyNumberFormat="1" applyFont="1" applyAlignment="1">
      <alignment vertical="center"/>
    </xf>
    <xf numFmtId="0" fontId="15" fillId="2" borderId="1" xfId="0" applyFont="1" applyFill="1" applyBorder="1" applyAlignment="1">
      <alignment vertical="center"/>
    </xf>
    <xf numFmtId="9" fontId="15" fillId="5" borderId="0" xfId="3" applyFont="1" applyFill="1" applyAlignment="1">
      <alignment vertical="center"/>
    </xf>
    <xf numFmtId="9" fontId="15" fillId="5" borderId="0" xfId="3" applyFont="1" applyFill="1" applyBorder="1" applyAlignment="1">
      <alignment vertical="center"/>
    </xf>
    <xf numFmtId="9" fontId="15" fillId="0" borderId="0" xfId="3" applyFont="1" applyAlignment="1">
      <alignment vertical="center"/>
    </xf>
    <xf numFmtId="9" fontId="15" fillId="0" borderId="0" xfId="3" applyFont="1" applyFill="1" applyAlignment="1">
      <alignment vertical="center"/>
    </xf>
    <xf numFmtId="4" fontId="15" fillId="0" borderId="0" xfId="0" applyNumberFormat="1" applyFont="1" applyAlignment="1">
      <alignment vertical="center"/>
    </xf>
    <xf numFmtId="0" fontId="15" fillId="0" borderId="0" xfId="0" applyFont="1"/>
    <xf numFmtId="0" fontId="15" fillId="0" borderId="0" xfId="0" applyFont="1" applyAlignment="1">
      <alignment horizontal="center"/>
    </xf>
    <xf numFmtId="0" fontId="15" fillId="6" borderId="0" xfId="0" applyFont="1" applyFill="1" applyAlignment="1">
      <alignment vertical="center"/>
    </xf>
    <xf numFmtId="0" fontId="15" fillId="6" borderId="0" xfId="0" applyFont="1" applyFill="1" applyAlignment="1">
      <alignment horizontal="center" vertical="center"/>
    </xf>
    <xf numFmtId="3" fontId="15" fillId="0" borderId="0" xfId="0" applyNumberFormat="1" applyFont="1"/>
    <xf numFmtId="164" fontId="15" fillId="0" borderId="0" xfId="3" applyNumberFormat="1" applyFont="1"/>
    <xf numFmtId="164" fontId="15" fillId="0" borderId="0" xfId="3" applyNumberFormat="1" applyFont="1" applyBorder="1"/>
    <xf numFmtId="9" fontId="15" fillId="0" borderId="0" xfId="3" applyFont="1"/>
    <xf numFmtId="164" fontId="15" fillId="0" borderId="0" xfId="0" applyNumberFormat="1" applyFont="1"/>
    <xf numFmtId="168" fontId="15" fillId="0" borderId="0" xfId="3" applyNumberFormat="1" applyFont="1"/>
    <xf numFmtId="165" fontId="15" fillId="0" borderId="0" xfId="1" applyNumberFormat="1" applyFont="1"/>
    <xf numFmtId="165" fontId="15" fillId="0" borderId="0" xfId="1" applyNumberFormat="1" applyFont="1" applyBorder="1"/>
    <xf numFmtId="165" fontId="15" fillId="0" borderId="0" xfId="0" applyNumberFormat="1" applyFont="1"/>
    <xf numFmtId="9" fontId="15" fillId="0" borderId="0" xfId="3" applyFont="1" applyBorder="1"/>
    <xf numFmtId="9" fontId="15" fillId="0" borderId="0" xfId="0" applyNumberFormat="1" applyFont="1"/>
    <xf numFmtId="10" fontId="15" fillId="0" borderId="0" xfId="3" applyNumberFormat="1" applyFont="1"/>
    <xf numFmtId="10" fontId="15" fillId="0" borderId="0" xfId="3" applyNumberFormat="1" applyFont="1" applyBorder="1"/>
    <xf numFmtId="3" fontId="15" fillId="0" borderId="0" xfId="3" applyNumberFormat="1" applyFont="1"/>
    <xf numFmtId="3" fontId="15" fillId="0" borderId="0" xfId="3" applyNumberFormat="1" applyFont="1" applyBorder="1"/>
    <xf numFmtId="165" fontId="15" fillId="0" borderId="0" xfId="1" applyNumberFormat="1" applyFont="1" applyFill="1" applyAlignment="1">
      <alignment horizontal="center" vertical="center"/>
    </xf>
    <xf numFmtId="9" fontId="15" fillId="5" borderId="0" xfId="0" applyNumberFormat="1" applyFont="1" applyFill="1"/>
    <xf numFmtId="164" fontId="15" fillId="0" borderId="0" xfId="1" applyFont="1"/>
    <xf numFmtId="0" fontId="15" fillId="6" borderId="0" xfId="0" applyFont="1" applyFill="1"/>
    <xf numFmtId="9" fontId="15" fillId="0" borderId="0" xfId="0" applyNumberFormat="1" applyFont="1" applyAlignment="1">
      <alignment vertical="center"/>
    </xf>
    <xf numFmtId="3" fontId="15" fillId="0" borderId="0" xfId="1" applyNumberFormat="1" applyFont="1" applyAlignment="1">
      <alignment vertical="center"/>
    </xf>
    <xf numFmtId="3" fontId="15" fillId="0" borderId="0" xfId="1" applyNumberFormat="1" applyFont="1" applyBorder="1" applyAlignment="1">
      <alignment vertical="center"/>
    </xf>
    <xf numFmtId="165" fontId="15" fillId="0" borderId="0" xfId="1" applyNumberFormat="1" applyFont="1" applyAlignment="1">
      <alignment vertical="center"/>
    </xf>
    <xf numFmtId="169" fontId="15" fillId="0" borderId="0" xfId="0" applyNumberFormat="1" applyFont="1"/>
    <xf numFmtId="3" fontId="15" fillId="0" borderId="0" xfId="0" applyNumberFormat="1" applyFont="1" applyAlignment="1">
      <alignment horizontal="right"/>
    </xf>
    <xf numFmtId="3" fontId="15" fillId="0" borderId="0" xfId="0" applyNumberFormat="1" applyFont="1" applyAlignment="1">
      <alignment horizontal="center"/>
    </xf>
    <xf numFmtId="0" fontId="22" fillId="0" borderId="17" xfId="0" applyFont="1" applyBorder="1" applyAlignment="1">
      <alignment horizontal="center" vertical="center" wrapText="1"/>
    </xf>
    <xf numFmtId="0" fontId="14" fillId="0" borderId="0" xfId="0" applyFont="1" applyAlignment="1">
      <alignment vertical="center"/>
    </xf>
    <xf numFmtId="0" fontId="13" fillId="0" borderId="0" xfId="0" applyFont="1" applyAlignment="1">
      <alignment vertical="center" wrapText="1"/>
    </xf>
    <xf numFmtId="0" fontId="13" fillId="0" borderId="0" xfId="0" applyFont="1" applyAlignment="1">
      <alignment horizontal="center" vertical="center"/>
    </xf>
    <xf numFmtId="170" fontId="15" fillId="9" borderId="0" xfId="0" applyNumberFormat="1" applyFont="1" applyFill="1" applyAlignment="1">
      <alignment horizontal="center"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3" fontId="12" fillId="9" borderId="0" xfId="0" applyNumberFormat="1" applyFont="1" applyFill="1" applyAlignment="1">
      <alignment horizontal="center" vertical="center"/>
    </xf>
    <xf numFmtId="0" fontId="11" fillId="0" borderId="0" xfId="0" applyFont="1"/>
    <xf numFmtId="0" fontId="48" fillId="0" borderId="0" xfId="0" applyFont="1"/>
    <xf numFmtId="49" fontId="48" fillId="12" borderId="46" xfId="0" applyNumberFormat="1" applyFont="1" applyFill="1" applyBorder="1"/>
    <xf numFmtId="1" fontId="48" fillId="0" borderId="46" xfId="0" applyNumberFormat="1" applyFont="1" applyBorder="1"/>
    <xf numFmtId="0" fontId="49" fillId="0" borderId="46" xfId="0" applyFont="1" applyBorder="1"/>
    <xf numFmtId="0" fontId="48" fillId="12" borderId="46" xfId="0" applyFont="1" applyFill="1" applyBorder="1" applyAlignment="1">
      <alignment horizontal="center" vertical="center"/>
    </xf>
    <xf numFmtId="1" fontId="48" fillId="12" borderId="46" xfId="0" applyNumberFormat="1" applyFont="1" applyFill="1" applyBorder="1"/>
    <xf numFmtId="1" fontId="49" fillId="12" borderId="46" xfId="0" applyNumberFormat="1" applyFont="1" applyFill="1" applyBorder="1" applyAlignment="1">
      <alignment horizontal="right"/>
    </xf>
    <xf numFmtId="49" fontId="49" fillId="15" borderId="46" xfId="0" applyNumberFormat="1" applyFont="1" applyFill="1" applyBorder="1"/>
    <xf numFmtId="0" fontId="49" fillId="17" borderId="46" xfId="0" applyFont="1" applyFill="1" applyBorder="1"/>
    <xf numFmtId="1" fontId="49" fillId="15" borderId="46" xfId="0" applyNumberFormat="1" applyFont="1" applyFill="1" applyBorder="1" applyAlignment="1">
      <alignment horizontal="right"/>
    </xf>
    <xf numFmtId="1" fontId="48" fillId="15" borderId="46" xfId="0" applyNumberFormat="1" applyFont="1" applyFill="1" applyBorder="1"/>
    <xf numFmtId="1" fontId="48" fillId="17" borderId="46" xfId="0" applyNumberFormat="1" applyFont="1" applyFill="1" applyBorder="1"/>
    <xf numFmtId="0" fontId="50" fillId="12" borderId="0" xfId="0" applyFont="1" applyFill="1"/>
    <xf numFmtId="0" fontId="50" fillId="5" borderId="46" xfId="0" applyFont="1" applyFill="1" applyBorder="1" applyAlignment="1">
      <alignment vertical="center"/>
    </xf>
    <xf numFmtId="49" fontId="50" fillId="0" borderId="46" xfId="0" applyNumberFormat="1" applyFont="1" applyBorder="1" applyAlignment="1">
      <alignment horizontal="right"/>
    </xf>
    <xf numFmtId="0" fontId="50" fillId="12" borderId="46" xfId="0" applyFont="1" applyFill="1" applyBorder="1"/>
    <xf numFmtId="49" fontId="50" fillId="12" borderId="46" xfId="0" applyNumberFormat="1" applyFont="1" applyFill="1" applyBorder="1"/>
    <xf numFmtId="49" fontId="51" fillId="0" borderId="46" xfId="0" applyNumberFormat="1" applyFont="1" applyBorder="1" applyAlignment="1">
      <alignment horizontal="left" vertical="center"/>
    </xf>
    <xf numFmtId="49" fontId="50" fillId="12" borderId="46" xfId="0" applyNumberFormat="1" applyFont="1" applyFill="1" applyBorder="1" applyAlignment="1">
      <alignment horizontal="left" vertical="center"/>
    </xf>
    <xf numFmtId="49" fontId="50" fillId="13" borderId="46" xfId="0" applyNumberFormat="1" applyFont="1" applyFill="1" applyBorder="1"/>
    <xf numFmtId="0" fontId="50" fillId="14" borderId="48" xfId="0" applyFont="1" applyFill="1" applyBorder="1"/>
    <xf numFmtId="1" fontId="51" fillId="8" borderId="46" xfId="0" applyNumberFormat="1" applyFont="1" applyFill="1" applyBorder="1"/>
    <xf numFmtId="1" fontId="50" fillId="8" borderId="46" xfId="0" applyNumberFormat="1" applyFont="1" applyFill="1" applyBorder="1"/>
    <xf numFmtId="49" fontId="50" fillId="13" borderId="46" xfId="0" applyNumberFormat="1" applyFont="1" applyFill="1" applyBorder="1" applyAlignment="1">
      <alignment vertical="top" wrapText="1"/>
    </xf>
    <xf numFmtId="0" fontId="51" fillId="0" borderId="46" xfId="0" applyFont="1" applyBorder="1"/>
    <xf numFmtId="1" fontId="51" fillId="0" borderId="46" xfId="0" applyNumberFormat="1" applyFont="1" applyBorder="1"/>
    <xf numFmtId="0" fontId="50" fillId="0" borderId="46" xfId="0" applyFont="1" applyBorder="1"/>
    <xf numFmtId="1" fontId="50" fillId="0" borderId="46" xfId="0" applyNumberFormat="1" applyFont="1" applyBorder="1"/>
    <xf numFmtId="0" fontId="50" fillId="12" borderId="46" xfId="0" applyFont="1" applyFill="1" applyBorder="1" applyAlignment="1">
      <alignment horizontal="center" vertical="center"/>
    </xf>
    <xf numFmtId="49" fontId="50" fillId="8" borderId="46" xfId="0" applyNumberFormat="1" applyFont="1" applyFill="1" applyBorder="1"/>
    <xf numFmtId="49" fontId="50" fillId="0" borderId="46" xfId="0" applyNumberFormat="1" applyFont="1" applyBorder="1"/>
    <xf numFmtId="2" fontId="50" fillId="0" borderId="47" xfId="0" applyNumberFormat="1" applyFont="1" applyBorder="1"/>
    <xf numFmtId="1" fontId="51" fillId="12" borderId="46" xfId="0" applyNumberFormat="1" applyFont="1" applyFill="1" applyBorder="1"/>
    <xf numFmtId="1" fontId="50" fillId="12" borderId="46" xfId="0" applyNumberFormat="1" applyFont="1" applyFill="1" applyBorder="1"/>
    <xf numFmtId="3" fontId="10" fillId="16" borderId="0" xfId="0" applyNumberFormat="1" applyFont="1" applyFill="1" applyAlignment="1">
      <alignment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vertical="center" wrapText="1"/>
    </xf>
    <xf numFmtId="1" fontId="15" fillId="0" borderId="0" xfId="0" applyNumberFormat="1" applyFont="1" applyAlignment="1">
      <alignment horizontal="center" vertical="center"/>
    </xf>
    <xf numFmtId="0" fontId="8" fillId="0" borderId="0" xfId="0" applyFont="1" applyAlignment="1">
      <alignment vertical="center"/>
    </xf>
    <xf numFmtId="9" fontId="15" fillId="0" borderId="0" xfId="3" applyFont="1" applyAlignment="1">
      <alignment horizontal="center" vertical="center"/>
    </xf>
    <xf numFmtId="165" fontId="17" fillId="9" borderId="0" xfId="1" applyNumberFormat="1" applyFont="1" applyFill="1" applyBorder="1" applyAlignment="1">
      <alignment vertical="center"/>
    </xf>
    <xf numFmtId="170" fontId="15" fillId="0" borderId="0" xfId="0" applyNumberFormat="1" applyFont="1"/>
    <xf numFmtId="10" fontId="15" fillId="0" borderId="0" xfId="0" applyNumberFormat="1" applyFont="1"/>
    <xf numFmtId="1" fontId="15" fillId="0" borderId="0" xfId="0" applyNumberFormat="1" applyFont="1"/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9" fontId="5" fillId="9" borderId="0" xfId="3" applyFont="1" applyFill="1" applyAlignment="1">
      <alignment horizontal="center" vertical="center"/>
    </xf>
    <xf numFmtId="0" fontId="5" fillId="9" borderId="0" xfId="0" applyFont="1" applyFill="1" applyAlignment="1">
      <alignment horizontal="center" vertical="center"/>
    </xf>
    <xf numFmtId="0" fontId="5" fillId="0" borderId="0" xfId="0" applyFont="1" applyAlignment="1">
      <alignment vertical="center" wrapText="1"/>
    </xf>
    <xf numFmtId="3" fontId="5" fillId="0" borderId="0" xfId="3" applyNumberFormat="1" applyFont="1" applyAlignment="1">
      <alignment horizontal="center" vertical="center"/>
    </xf>
    <xf numFmtId="3" fontId="5" fillId="0" borderId="0" xfId="0" applyNumberFormat="1" applyFont="1" applyAlignment="1">
      <alignment horizontal="center" vertical="center"/>
    </xf>
    <xf numFmtId="0" fontId="53" fillId="0" borderId="0" xfId="0" applyFont="1" applyAlignment="1">
      <alignment horizontal="center"/>
    </xf>
    <xf numFmtId="0" fontId="20" fillId="0" borderId="49" xfId="0" applyFont="1" applyBorder="1" applyAlignment="1">
      <alignment vertical="center"/>
    </xf>
    <xf numFmtId="3" fontId="16" fillId="0" borderId="50" xfId="0" applyNumberFormat="1" applyFont="1" applyBorder="1" applyAlignment="1">
      <alignment vertical="center"/>
    </xf>
    <xf numFmtId="0" fontId="50" fillId="8" borderId="46" xfId="0" applyFont="1" applyFill="1" applyBorder="1"/>
    <xf numFmtId="3" fontId="4" fillId="9" borderId="0" xfId="0" applyNumberFormat="1" applyFont="1" applyFill="1" applyAlignment="1">
      <alignment horizontal="center" vertical="center"/>
    </xf>
    <xf numFmtId="3" fontId="4" fillId="9" borderId="0" xfId="1" applyNumberFormat="1" applyFont="1" applyFill="1" applyAlignment="1">
      <alignment horizontal="center" vertical="center"/>
    </xf>
    <xf numFmtId="2" fontId="54" fillId="14" borderId="47" xfId="0" applyNumberFormat="1" applyFont="1" applyFill="1" applyBorder="1" applyAlignment="1">
      <alignment vertical="top" wrapText="1"/>
    </xf>
    <xf numFmtId="1" fontId="56" fillId="8" borderId="47" xfId="0" applyNumberFormat="1" applyFont="1" applyFill="1" applyBorder="1"/>
    <xf numFmtId="1" fontId="56" fillId="8" borderId="46" xfId="0" applyNumberFormat="1" applyFont="1" applyFill="1" applyBorder="1"/>
    <xf numFmtId="1" fontId="56" fillId="0" borderId="46" xfId="0" applyNumberFormat="1" applyFont="1" applyBorder="1"/>
    <xf numFmtId="49" fontId="0" fillId="12" borderId="46" xfId="0" applyNumberFormat="1" applyFill="1" applyBorder="1"/>
    <xf numFmtId="0" fontId="56" fillId="0" borderId="46" xfId="0" applyFont="1" applyBorder="1"/>
    <xf numFmtId="1" fontId="0" fillId="0" borderId="46" xfId="0" applyNumberFormat="1" applyBorder="1"/>
    <xf numFmtId="0" fontId="57" fillId="12" borderId="46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9" borderId="0" xfId="0" applyFont="1" applyFill="1" applyAlignment="1">
      <alignment horizontal="center" vertical="center"/>
    </xf>
    <xf numFmtId="3" fontId="3" fillId="9" borderId="0" xfId="0" applyNumberFormat="1" applyFont="1" applyFill="1" applyAlignment="1">
      <alignment horizontal="center" vertical="center"/>
    </xf>
    <xf numFmtId="3" fontId="3" fillId="0" borderId="0" xfId="0" applyNumberFormat="1" applyFont="1" applyAlignment="1">
      <alignment horizontal="center" vertical="center"/>
    </xf>
    <xf numFmtId="0" fontId="3" fillId="9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15" fillId="18" borderId="1" xfId="0" applyFont="1" applyFill="1" applyBorder="1" applyAlignment="1">
      <alignment vertical="center"/>
    </xf>
    <xf numFmtId="0" fontId="17" fillId="18" borderId="1" xfId="0" applyFont="1" applyFill="1" applyBorder="1" applyAlignment="1">
      <alignment vertical="center"/>
    </xf>
    <xf numFmtId="0" fontId="17" fillId="18" borderId="1" xfId="0" applyFont="1" applyFill="1" applyBorder="1" applyAlignment="1">
      <alignment horizontal="center" vertical="center"/>
    </xf>
    <xf numFmtId="3" fontId="17" fillId="18" borderId="1" xfId="0" applyNumberFormat="1" applyFont="1" applyFill="1" applyBorder="1" applyAlignment="1">
      <alignment horizontal="right" vertical="center"/>
    </xf>
    <xf numFmtId="0" fontId="15" fillId="18" borderId="0" xfId="0" applyFont="1" applyFill="1"/>
    <xf numFmtId="0" fontId="15" fillId="18" borderId="0" xfId="0" applyFont="1" applyFill="1" applyAlignment="1">
      <alignment vertical="center"/>
    </xf>
    <xf numFmtId="0" fontId="1" fillId="0" borderId="0" xfId="0" applyFont="1" applyAlignment="1">
      <alignment vertical="center" wrapText="1"/>
    </xf>
    <xf numFmtId="2" fontId="58" fillId="14" borderId="47" xfId="0" applyNumberFormat="1" applyFont="1" applyFill="1" applyBorder="1" applyAlignment="1">
      <alignment wrapText="1"/>
    </xf>
    <xf numFmtId="2" fontId="58" fillId="12" borderId="47" xfId="0" applyNumberFormat="1" applyFont="1" applyFill="1" applyBorder="1" applyAlignment="1">
      <alignment wrapText="1"/>
    </xf>
    <xf numFmtId="0" fontId="2" fillId="0" borderId="0" xfId="0" applyFont="1" applyAlignment="1">
      <alignment horizontal="center" vertical="center"/>
    </xf>
    <xf numFmtId="170" fontId="2" fillId="9" borderId="0" xfId="0" applyNumberFormat="1" applyFont="1" applyFill="1" applyAlignment="1">
      <alignment horizontal="center" vertical="center"/>
    </xf>
  </cellXfs>
  <cellStyles count="5">
    <cellStyle name="Гиперссылка" xfId="4" builtinId="8"/>
    <cellStyle name="Обычный" xfId="0" builtinId="0"/>
    <cellStyle name="Процентный" xfId="3" builtinId="5"/>
    <cellStyle name="Процентный 2" xfId="2" xr:uid="{00000000-0005-0000-0000-000003000000}"/>
    <cellStyle name="Финансовый" xfId="1" builtinId="3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 /><Relationship Id="rId3" Type="http://schemas.openxmlformats.org/officeDocument/2006/relationships/worksheet" Target="worksheets/sheet3.xml" /><Relationship Id="rId7" Type="http://schemas.openxmlformats.org/officeDocument/2006/relationships/sharedStrings" Target="sharedStrings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styles" Target="styles.xml" /><Relationship Id="rId5" Type="http://schemas.openxmlformats.org/officeDocument/2006/relationships/theme" Target="theme/theme1.xml" /><Relationship Id="rId4" Type="http://schemas.openxmlformats.org/officeDocument/2006/relationships/worksheet" Target="worksheets/sheet4.xml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 /><Relationship Id="rId1" Type="http://schemas.microsoft.com/office/2011/relationships/chartStyle" Target="style1.xml" 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 /><Relationship Id="rId1" Type="http://schemas.microsoft.com/office/2011/relationships/chartStyle" Target="style2.xml" 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 /><Relationship Id="rId1" Type="http://schemas.microsoft.com/office/2011/relationships/chartStyle" Target="style3.xml" 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 /><Relationship Id="rId1" Type="http://schemas.microsoft.com/office/2011/relationships/chartStyle" Target="style4.xml" 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 /><Relationship Id="rId1" Type="http://schemas.microsoft.com/office/2011/relationships/chartStyle" Target="style5.xml" 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 /><Relationship Id="rId1" Type="http://schemas.microsoft.com/office/2011/relationships/chartStyle" Target="style6.xml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899962244267508"/>
          <c:y val="4.7572489457775126E-2"/>
          <c:w val="0.78721178678554626"/>
          <c:h val="0.643401746912783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Результаты!$C$7</c:f>
              <c:strCache>
                <c:ptCount val="1"/>
                <c:pt idx="0">
                  <c:v>Выручка от аренды стандартных PC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Результаты!$D$7:$H$7</c:f>
              <c:numCache>
                <c:formatCode>#,##0</c:formatCode>
                <c:ptCount val="5"/>
                <c:pt idx="0">
                  <c:v>5248800</c:v>
                </c:pt>
                <c:pt idx="1">
                  <c:v>6784880.9616687307</c:v>
                </c:pt>
                <c:pt idx="2">
                  <c:v>7275360.5549877007</c:v>
                </c:pt>
                <c:pt idx="3">
                  <c:v>8776459.077486787</c:v>
                </c:pt>
                <c:pt idx="4">
                  <c:v>10456566.682033062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5F-4F6B-BC8A-6E24EC77506F}"/>
            </c:ext>
          </c:extLst>
        </c:ser>
        <c:ser>
          <c:idx val="1"/>
          <c:order val="1"/>
          <c:tx>
            <c:strRef>
              <c:f>Результаты!#REF!</c:f>
              <c:strCache>
                <c:ptCount val="1"/>
                <c:pt idx="0">
                  <c:v>#ССЫЛКА!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Результаты!#REF!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15F-4F6B-BC8A-6E24EC77506F}"/>
            </c:ext>
          </c:extLst>
        </c:ser>
        <c:ser>
          <c:idx val="2"/>
          <c:order val="2"/>
          <c:tx>
            <c:strRef>
              <c:f>Результаты!#REF!</c:f>
              <c:strCache>
                <c:ptCount val="1"/>
                <c:pt idx="0">
                  <c:v>#ССЫЛКА!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Результаты!#REF!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15F-4F6B-BC8A-6E24EC77506F}"/>
            </c:ext>
          </c:extLst>
        </c:ser>
        <c:ser>
          <c:idx val="3"/>
          <c:order val="3"/>
          <c:tx>
            <c:strRef>
              <c:f>Результаты!$C$8</c:f>
              <c:strCache>
                <c:ptCount val="1"/>
                <c:pt idx="0">
                  <c:v>Выручка от аренды Sony PS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Результаты!$D$8:$H$8</c:f>
              <c:numCache>
                <c:formatCode>#,##0</c:formatCode>
                <c:ptCount val="5"/>
                <c:pt idx="0">
                  <c:v>1516320</c:v>
                </c:pt>
                <c:pt idx="1">
                  <c:v>1960076.7222598554</c:v>
                </c:pt>
                <c:pt idx="2">
                  <c:v>2101770.8269964471</c:v>
                </c:pt>
                <c:pt idx="3">
                  <c:v>2535421.511273961</c:v>
                </c:pt>
                <c:pt idx="4">
                  <c:v>3020785.9303651061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15F-4F6B-BC8A-6E24EC77506F}"/>
            </c:ext>
          </c:extLst>
        </c:ser>
        <c:ser>
          <c:idx val="4"/>
          <c:order val="4"/>
          <c:tx>
            <c:strRef>
              <c:f>Результаты!$C$9</c:f>
              <c:strCache>
                <c:ptCount val="1"/>
                <c:pt idx="0">
                  <c:v>Выручка кафе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val>
            <c:numRef>
              <c:f>Результаты!$D$9:$H$9</c:f>
              <c:numCache>
                <c:formatCode>#,##0</c:formatCode>
                <c:ptCount val="5"/>
                <c:pt idx="0">
                  <c:v>1635876</c:v>
                </c:pt>
                <c:pt idx="1">
                  <c:v>2013924.9838604007</c:v>
                </c:pt>
                <c:pt idx="2">
                  <c:v>2159511.7837820635</c:v>
                </c:pt>
                <c:pt idx="3">
                  <c:v>2605075.9483968713</c:v>
                </c:pt>
                <c:pt idx="4">
                  <c:v>3103774.5548256859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15F-4F6B-BC8A-6E24EC77506F}"/>
            </c:ext>
          </c:extLst>
        </c:ser>
        <c:ser>
          <c:idx val="5"/>
          <c:order val="5"/>
          <c:tx>
            <c:strRef>
              <c:f>Результаты!$C$10</c:f>
              <c:strCache>
                <c:ptCount val="1"/>
                <c:pt idx="0">
                  <c:v>Прочие доходы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val>
            <c:numRef>
              <c:f>Результаты!$D$10:$H$10</c:f>
              <c:numCache>
                <c:formatCode>#,##0</c:formatCode>
                <c:ptCount val="5"/>
                <c:pt idx="0">
                  <c:v>300000</c:v>
                </c:pt>
                <c:pt idx="1">
                  <c:v>311621.88426241599</c:v>
                </c:pt>
                <c:pt idx="2">
                  <c:v>334149.05547231867</c:v>
                </c:pt>
                <c:pt idx="3">
                  <c:v>358304.71771044761</c:v>
                </c:pt>
                <c:pt idx="4">
                  <c:v>384206.59472490667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3B-4519-8432-5EDE9E3218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67401488"/>
        <c:axId val="1067404816"/>
      </c:barChart>
      <c:catAx>
        <c:axId val="106740148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067404816"/>
        <c:crosses val="autoZero"/>
        <c:auto val="1"/>
        <c:lblAlgn val="ctr"/>
        <c:lblOffset val="100"/>
        <c:noMultiLvlLbl val="0"/>
      </c:catAx>
      <c:valAx>
        <c:axId val="10674048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067401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1.2264353383113501E-2"/>
          <c:y val="0.77126995489200212"/>
          <c:w val="0.97083776278280653"/>
          <c:h val="0.2287302530579903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144042535687761"/>
          <c:y val="7.3490813648293962E-2"/>
          <c:w val="0.79562269186081236"/>
          <c:h val="0.5737598941864550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Результаты!$C$13</c:f>
              <c:strCache>
                <c:ptCount val="1"/>
                <c:pt idx="0">
                  <c:v>Аренда помещения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Результаты!$D$13:$H$13</c:f>
              <c:numCache>
                <c:formatCode>#,##0</c:formatCode>
                <c:ptCount val="5"/>
                <c:pt idx="0">
                  <c:v>1088069.4189830124</c:v>
                </c:pt>
                <c:pt idx="1">
                  <c:v>1057604.9095728286</c:v>
                </c:pt>
                <c:pt idx="2">
                  <c:v>1111713.9839556131</c:v>
                </c:pt>
                <c:pt idx="3">
                  <c:v>1168591.3812764448</c:v>
                </c:pt>
                <c:pt idx="4">
                  <c:v>1228378.7341907837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9F-48E6-950A-73D9B948BC00}"/>
            </c:ext>
          </c:extLst>
        </c:ser>
        <c:ser>
          <c:idx val="1"/>
          <c:order val="1"/>
          <c:tx>
            <c:strRef>
              <c:f>Результаты!$C$14</c:f>
              <c:strCache>
                <c:ptCount val="1"/>
                <c:pt idx="0">
                  <c:v>Коммунальные платежи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Результаты!$D$14:$H$14</c:f>
              <c:numCache>
                <c:formatCode>#,##0</c:formatCode>
                <c:ptCount val="5"/>
                <c:pt idx="0">
                  <c:v>261120.00000000003</c:v>
                </c:pt>
                <c:pt idx="1">
                  <c:v>271235.6880620069</c:v>
                </c:pt>
                <c:pt idx="2">
                  <c:v>290843.33788310626</c:v>
                </c:pt>
                <c:pt idx="3">
                  <c:v>311868.42629517359</c:v>
                </c:pt>
                <c:pt idx="4">
                  <c:v>334413.42004855885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39F-48E6-950A-73D9B948BC00}"/>
            </c:ext>
          </c:extLst>
        </c:ser>
        <c:ser>
          <c:idx val="2"/>
          <c:order val="2"/>
          <c:tx>
            <c:strRef>
              <c:f>Результаты!$C$15</c:f>
              <c:strCache>
                <c:ptCount val="1"/>
                <c:pt idx="0">
                  <c:v>Заработная плата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Результаты!$D$15:$H$15</c:f>
              <c:numCache>
                <c:formatCode>#,##0</c:formatCode>
                <c:ptCount val="5"/>
                <c:pt idx="0">
                  <c:v>1296000</c:v>
                </c:pt>
                <c:pt idx="1">
                  <c:v>1346206.5400136369</c:v>
                </c:pt>
                <c:pt idx="2">
                  <c:v>1443523.9196404167</c:v>
                </c:pt>
                <c:pt idx="3">
                  <c:v>1547876.3805091337</c:v>
                </c:pt>
                <c:pt idx="4">
                  <c:v>1659772.4892115968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39F-48E6-950A-73D9B948BC00}"/>
            </c:ext>
          </c:extLst>
        </c:ser>
        <c:ser>
          <c:idx val="3"/>
          <c:order val="3"/>
          <c:tx>
            <c:strRef>
              <c:f>Результаты!$C$16</c:f>
              <c:strCache>
                <c:ptCount val="1"/>
                <c:pt idx="0">
                  <c:v>Реклама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Результаты!$D$16:$H$16</c:f>
              <c:numCache>
                <c:formatCode>#,##0</c:formatCode>
                <c:ptCount val="5"/>
                <c:pt idx="0">
                  <c:v>413659.00040000002</c:v>
                </c:pt>
                <c:pt idx="1">
                  <c:v>342078.59065838833</c:v>
                </c:pt>
                <c:pt idx="2">
                  <c:v>366807.47963627055</c:v>
                </c:pt>
                <c:pt idx="3">
                  <c:v>441105.57277542329</c:v>
                </c:pt>
                <c:pt idx="4">
                  <c:v>524228.81324421667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39F-48E6-950A-73D9B948BC00}"/>
            </c:ext>
          </c:extLst>
        </c:ser>
        <c:ser>
          <c:idx val="4"/>
          <c:order val="4"/>
          <c:tx>
            <c:strRef>
              <c:f>Результаты!$C$17</c:f>
              <c:strCache>
                <c:ptCount val="1"/>
                <c:pt idx="0">
                  <c:v>Налоги (УСН 6%)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val>
            <c:numRef>
              <c:f>Результаты!$D$17:$H$17</c:f>
              <c:numCache>
                <c:formatCode>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39F-48E6-950A-73D9B948BC00}"/>
            </c:ext>
          </c:extLst>
        </c:ser>
        <c:ser>
          <c:idx val="5"/>
          <c:order val="5"/>
          <c:tx>
            <c:strRef>
              <c:f>Результаты!$C$18</c:f>
              <c:strCache>
                <c:ptCount val="1"/>
                <c:pt idx="0">
                  <c:v>Патент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val>
            <c:numRef>
              <c:f>Результаты!$D$18:$H$18</c:f>
              <c:numCache>
                <c:formatCode>#,##0</c:formatCode>
                <c:ptCount val="5"/>
                <c:pt idx="0">
                  <c:v>49999.999999999993</c:v>
                </c:pt>
                <c:pt idx="1">
                  <c:v>49999.999999999993</c:v>
                </c:pt>
                <c:pt idx="2">
                  <c:v>49999.999999999993</c:v>
                </c:pt>
                <c:pt idx="3">
                  <c:v>49999.999999999993</c:v>
                </c:pt>
                <c:pt idx="4">
                  <c:v>49999.999999999993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39F-48E6-950A-73D9B948BC00}"/>
            </c:ext>
          </c:extLst>
        </c:ser>
        <c:ser>
          <c:idx val="6"/>
          <c:order val="6"/>
          <c:tx>
            <c:strRef>
              <c:f>Результаты!$C$19</c:f>
              <c:strCache>
                <c:ptCount val="1"/>
                <c:pt idx="0">
                  <c:v>Роялти 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Результаты!$D$19:$H$19</c:f>
              <c:numCache>
                <c:formatCode>#,##0</c:formatCode>
                <c:ptCount val="5"/>
                <c:pt idx="0">
                  <c:v>407870.79999999993</c:v>
                </c:pt>
                <c:pt idx="1">
                  <c:v>553525.22760257008</c:v>
                </c:pt>
                <c:pt idx="2">
                  <c:v>593539.61106192647</c:v>
                </c:pt>
                <c:pt idx="3">
                  <c:v>713763.06274340325</c:v>
                </c:pt>
                <c:pt idx="4">
                  <c:v>848266.68809743784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39F-48E6-950A-73D9B948BC00}"/>
            </c:ext>
          </c:extLst>
        </c:ser>
        <c:ser>
          <c:idx val="7"/>
          <c:order val="7"/>
          <c:tx>
            <c:strRef>
              <c:f>Результаты!$C$20</c:f>
              <c:strCache>
                <c:ptCount val="1"/>
                <c:pt idx="0">
                  <c:v>Взносы в пенсионные, страховые и др. фонды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Результаты!$D$20:$H$20</c:f>
              <c:numCache>
                <c:formatCode>#,##0</c:formatCode>
                <c:ptCount val="5"/>
                <c:pt idx="0">
                  <c:v>309600</c:v>
                </c:pt>
                <c:pt idx="1">
                  <c:v>309600</c:v>
                </c:pt>
                <c:pt idx="2">
                  <c:v>309600</c:v>
                </c:pt>
                <c:pt idx="3">
                  <c:v>309600</c:v>
                </c:pt>
                <c:pt idx="4">
                  <c:v>309600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39F-48E6-950A-73D9B948BC00}"/>
            </c:ext>
          </c:extLst>
        </c:ser>
        <c:ser>
          <c:idx val="8"/>
          <c:order val="8"/>
          <c:tx>
            <c:strRef>
              <c:f>Результаты!$C$21</c:f>
              <c:strCache>
                <c:ptCount val="1"/>
                <c:pt idx="0">
                  <c:v>Закупки Бар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Результаты!$D$21:$H$21</c:f>
              <c:numCache>
                <c:formatCode>#,##0</c:formatCode>
                <c:ptCount val="5"/>
                <c:pt idx="0">
                  <c:v>778988.57142857136</c:v>
                </c:pt>
                <c:pt idx="1">
                  <c:v>959011.89707638114</c:v>
                </c:pt>
                <c:pt idx="2">
                  <c:v>1028338.9446581254</c:v>
                </c:pt>
                <c:pt idx="3">
                  <c:v>1240512.3563794626</c:v>
                </c:pt>
                <c:pt idx="4">
                  <c:v>1477987.8832503266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39F-48E6-950A-73D9B948BC00}"/>
            </c:ext>
          </c:extLst>
        </c:ser>
        <c:ser>
          <c:idx val="9"/>
          <c:order val="9"/>
          <c:tx>
            <c:strRef>
              <c:f>Результаты!$C$22</c:f>
              <c:strCache>
                <c:ptCount val="1"/>
                <c:pt idx="0">
                  <c:v>Интернет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Результаты!$D$22:$H$22</c:f>
              <c:numCache>
                <c:formatCode>#,##0</c:formatCode>
                <c:ptCount val="5"/>
                <c:pt idx="0">
                  <c:v>240000</c:v>
                </c:pt>
                <c:pt idx="1">
                  <c:v>249297.50740993276</c:v>
                </c:pt>
                <c:pt idx="2">
                  <c:v>267319.24437785492</c:v>
                </c:pt>
                <c:pt idx="3">
                  <c:v>286643.77416835807</c:v>
                </c:pt>
                <c:pt idx="4">
                  <c:v>307365.27577992534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739F-48E6-950A-73D9B948BC00}"/>
            </c:ext>
          </c:extLst>
        </c:ser>
        <c:ser>
          <c:idx val="10"/>
          <c:order val="10"/>
          <c:tx>
            <c:strRef>
              <c:f>Результаты!$C$24</c:f>
              <c:strCache>
                <c:ptCount val="1"/>
                <c:pt idx="0">
                  <c:v>Прочие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Результаты!$D$24:$H$24</c:f>
              <c:numCache>
                <c:formatCode>#,##0</c:formatCode>
                <c:ptCount val="5"/>
                <c:pt idx="0">
                  <c:v>527842.76912434748</c:v>
                </c:pt>
                <c:pt idx="1">
                  <c:v>604526.76622814499</c:v>
                </c:pt>
                <c:pt idx="2">
                  <c:v>637148.7927748831</c:v>
                </c:pt>
                <c:pt idx="3">
                  <c:v>724285.06357639201</c:v>
                </c:pt>
                <c:pt idx="4">
                  <c:v>821457.21139451733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39F-48E6-950A-73D9B948BC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79123376"/>
        <c:axId val="1079121296"/>
      </c:barChart>
      <c:catAx>
        <c:axId val="1079123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079121296"/>
        <c:crosses val="autoZero"/>
        <c:auto val="1"/>
        <c:lblAlgn val="ctr"/>
        <c:lblOffset val="100"/>
        <c:noMultiLvlLbl val="0"/>
      </c:catAx>
      <c:valAx>
        <c:axId val="10791212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0791233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7.0699912510936141E-3"/>
          <c:y val="0.74999781277340327"/>
          <c:w val="0.97474890638670164"/>
          <c:h val="0.2222244094488188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Модель!$C$130</c:f>
              <c:strCache>
                <c:ptCount val="1"/>
                <c:pt idx="0">
                  <c:v>Free Cash Flow Денежный поток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Модель!$F$130:$BM$130</c:f>
              <c:numCache>
                <c:formatCode>#,##0</c:formatCode>
                <c:ptCount val="60"/>
                <c:pt idx="0">
                  <c:v>-6069477.322680952</c:v>
                </c:pt>
                <c:pt idx="1">
                  <c:v>175969.72426952378</c:v>
                </c:pt>
                <c:pt idx="2">
                  <c:v>274013.33379747218</c:v>
                </c:pt>
                <c:pt idx="3">
                  <c:v>315900.28326455597</c:v>
                </c:pt>
                <c:pt idx="4">
                  <c:v>315544.21001728612</c:v>
                </c:pt>
                <c:pt idx="5">
                  <c:v>315186.65313148597</c:v>
                </c:pt>
                <c:pt idx="6">
                  <c:v>314827.60642532824</c:v>
                </c:pt>
                <c:pt idx="7">
                  <c:v>314467.06369122816</c:v>
                </c:pt>
                <c:pt idx="8">
                  <c:v>314105.01869573607</c:v>
                </c:pt>
                <c:pt idx="9">
                  <c:v>313741.46517942951</c:v>
                </c:pt>
                <c:pt idx="10">
                  <c:v>313376.39685680484</c:v>
                </c:pt>
                <c:pt idx="11">
                  <c:v>313009.80741616938</c:v>
                </c:pt>
                <c:pt idx="12">
                  <c:v>413513.41153358744</c:v>
                </c:pt>
                <c:pt idx="13">
                  <c:v>430110.62210990529</c:v>
                </c:pt>
                <c:pt idx="14">
                  <c:v>433012.87683244667</c:v>
                </c:pt>
                <c:pt idx="15">
                  <c:v>435932.68002575031</c:v>
                </c:pt>
                <c:pt idx="16">
                  <c:v>438870.13663361012</c:v>
                </c:pt>
                <c:pt idx="17">
                  <c:v>441825.35222273302</c:v>
                </c:pt>
                <c:pt idx="18">
                  <c:v>444798.43298641709</c:v>
                </c:pt>
                <c:pt idx="19">
                  <c:v>447789.48574825109</c:v>
                </c:pt>
                <c:pt idx="20">
                  <c:v>450798.61796583683</c:v>
                </c:pt>
                <c:pt idx="21">
                  <c:v>453825.93773453258</c:v>
                </c:pt>
                <c:pt idx="22">
                  <c:v>456871.55379121972</c:v>
                </c:pt>
                <c:pt idx="23">
                  <c:v>459935.57551808882</c:v>
                </c:pt>
                <c:pt idx="24">
                  <c:v>463018.11294645153</c:v>
                </c:pt>
                <c:pt idx="25">
                  <c:v>466119.27676057263</c:v>
                </c:pt>
                <c:pt idx="26">
                  <c:v>469239.17830152495</c:v>
                </c:pt>
                <c:pt idx="27">
                  <c:v>472377.92957106733</c:v>
                </c:pt>
                <c:pt idx="28">
                  <c:v>475535.64323554566</c:v>
                </c:pt>
                <c:pt idx="29">
                  <c:v>478712.4326298153</c:v>
                </c:pt>
                <c:pt idx="30">
                  <c:v>481908.41176119028</c:v>
                </c:pt>
                <c:pt idx="31">
                  <c:v>485123.69531340949</c:v>
                </c:pt>
                <c:pt idx="32">
                  <c:v>488358.39865063375</c:v>
                </c:pt>
                <c:pt idx="33">
                  <c:v>491612.63782145991</c:v>
                </c:pt>
                <c:pt idx="34">
                  <c:v>494886.52956296236</c:v>
                </c:pt>
                <c:pt idx="35">
                  <c:v>498180.19130475691</c:v>
                </c:pt>
                <c:pt idx="36">
                  <c:v>588366.06475972547</c:v>
                </c:pt>
                <c:pt idx="37">
                  <c:v>604684.22922786721</c:v>
                </c:pt>
                <c:pt idx="38">
                  <c:v>608620.41130063788</c:v>
                </c:pt>
                <c:pt idx="39">
                  <c:v>612580.23800916644</c:v>
                </c:pt>
                <c:pt idx="40">
                  <c:v>616563.850128719</c:v>
                </c:pt>
                <c:pt idx="41">
                  <c:v>620571.38926761667</c:v>
                </c:pt>
                <c:pt idx="42">
                  <c:v>624602.99787214829</c:v>
                </c:pt>
                <c:pt idx="43">
                  <c:v>628658.81923150504</c:v>
                </c:pt>
                <c:pt idx="44">
                  <c:v>632738.99748274707</c:v>
                </c:pt>
                <c:pt idx="45">
                  <c:v>636843.67761580297</c:v>
                </c:pt>
                <c:pt idx="46">
                  <c:v>640973.00547849096</c:v>
                </c:pt>
                <c:pt idx="47">
                  <c:v>645127.12778157718</c:v>
                </c:pt>
                <c:pt idx="48">
                  <c:v>742458.52298674104</c:v>
                </c:pt>
                <c:pt idx="49">
                  <c:v>760585.94376307842</c:v>
                </c:pt>
                <c:pt idx="50">
                  <c:v>765439.9460062451</c:v>
                </c:pt>
                <c:pt idx="51">
                  <c:v>770322.98180908943</c:v>
                </c:pt>
                <c:pt idx="52">
                  <c:v>775235.22352798749</c:v>
                </c:pt>
                <c:pt idx="53">
                  <c:v>780176.8445372018</c:v>
                </c:pt>
                <c:pt idx="54">
                  <c:v>785148.01923487219</c:v>
                </c:pt>
                <c:pt idx="55">
                  <c:v>790148.92304903804</c:v>
                </c:pt>
                <c:pt idx="56">
                  <c:v>795179.73244370206</c:v>
                </c:pt>
                <c:pt idx="57">
                  <c:v>800240.62492492422</c:v>
                </c:pt>
                <c:pt idx="58">
                  <c:v>805331.77904695214</c:v>
                </c:pt>
                <c:pt idx="59">
                  <c:v>810453.37441839103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F61A-44B4-BC25-8547461A002F}"/>
            </c:ext>
          </c:extLst>
        </c:ser>
        <c:ser>
          <c:idx val="1"/>
          <c:order val="1"/>
          <c:tx>
            <c:strRef>
              <c:f>Модель!$C$131</c:f>
              <c:strCache>
                <c:ptCount val="1"/>
                <c:pt idx="0">
                  <c:v>Cumulative cash flow</c:v>
                </c:pt>
              </c:strCache>
            </c:strRef>
          </c:tx>
          <c:spPr>
            <a:ln w="3810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Модель!$F$131:$BM$131</c:f>
              <c:numCache>
                <c:formatCode>#,##0</c:formatCode>
                <c:ptCount val="60"/>
                <c:pt idx="0">
                  <c:v>-6069477.322680952</c:v>
                </c:pt>
                <c:pt idx="1">
                  <c:v>-5893507.5984114278</c:v>
                </c:pt>
                <c:pt idx="2">
                  <c:v>-5619494.2646139553</c:v>
                </c:pt>
                <c:pt idx="3">
                  <c:v>-5303593.9813493993</c:v>
                </c:pt>
                <c:pt idx="4">
                  <c:v>-4988049.7713321131</c:v>
                </c:pt>
                <c:pt idx="5">
                  <c:v>-4672863.1182006272</c:v>
                </c:pt>
                <c:pt idx="6">
                  <c:v>-4358035.511775299</c:v>
                </c:pt>
                <c:pt idx="7">
                  <c:v>-4043568.4480840708</c:v>
                </c:pt>
                <c:pt idx="8">
                  <c:v>-3729463.429388335</c:v>
                </c:pt>
                <c:pt idx="9">
                  <c:v>-3415721.9642089056</c:v>
                </c:pt>
                <c:pt idx="10">
                  <c:v>-3102345.5673521007</c:v>
                </c:pt>
                <c:pt idx="11">
                  <c:v>-2789335.7599359313</c:v>
                </c:pt>
                <c:pt idx="12">
                  <c:v>-2375822.3484023437</c:v>
                </c:pt>
                <c:pt idx="13">
                  <c:v>-1945711.7262924383</c:v>
                </c:pt>
                <c:pt idx="14">
                  <c:v>-1512698.8494599918</c:v>
                </c:pt>
                <c:pt idx="15">
                  <c:v>-1076766.1694342415</c:v>
                </c:pt>
                <c:pt idx="16">
                  <c:v>-637896.03280063136</c:v>
                </c:pt>
                <c:pt idx="17">
                  <c:v>-196070.68057789834</c:v>
                </c:pt>
                <c:pt idx="18">
                  <c:v>248727.75240851875</c:v>
                </c:pt>
                <c:pt idx="19">
                  <c:v>696517.23815676989</c:v>
                </c:pt>
                <c:pt idx="20">
                  <c:v>1147315.8561226067</c:v>
                </c:pt>
                <c:pt idx="21">
                  <c:v>1601141.7938571393</c:v>
                </c:pt>
                <c:pt idx="22">
                  <c:v>2058013.3476483589</c:v>
                </c:pt>
                <c:pt idx="23">
                  <c:v>2517948.9231664478</c:v>
                </c:pt>
                <c:pt idx="24">
                  <c:v>2980967.0361128994</c:v>
                </c:pt>
                <c:pt idx="25">
                  <c:v>3447086.312873472</c:v>
                </c:pt>
                <c:pt idx="26">
                  <c:v>3916325.4911749968</c:v>
                </c:pt>
                <c:pt idx="27">
                  <c:v>4388703.4207460638</c:v>
                </c:pt>
                <c:pt idx="28">
                  <c:v>4864239.0639816094</c:v>
                </c:pt>
                <c:pt idx="29">
                  <c:v>5342951.4966114247</c:v>
                </c:pt>
                <c:pt idx="30">
                  <c:v>5824859.9083726145</c:v>
                </c:pt>
                <c:pt idx="31">
                  <c:v>6309983.6036860244</c:v>
                </c:pt>
                <c:pt idx="32">
                  <c:v>6798342.0023366585</c:v>
                </c:pt>
                <c:pt idx="33">
                  <c:v>7289954.6401581187</c:v>
                </c:pt>
                <c:pt idx="34">
                  <c:v>7784841.1697210809</c:v>
                </c:pt>
                <c:pt idx="35">
                  <c:v>8283021.3610258382</c:v>
                </c:pt>
                <c:pt idx="36">
                  <c:v>8871387.4257855639</c:v>
                </c:pt>
                <c:pt idx="37">
                  <c:v>9476071.6550134309</c:v>
                </c:pt>
                <c:pt idx="38">
                  <c:v>10084692.06631407</c:v>
                </c:pt>
                <c:pt idx="39">
                  <c:v>10697272.304323236</c:v>
                </c:pt>
                <c:pt idx="40">
                  <c:v>11313836.154451955</c:v>
                </c:pt>
                <c:pt idx="41">
                  <c:v>11934407.543719571</c:v>
                </c:pt>
                <c:pt idx="42">
                  <c:v>12559010.541591719</c:v>
                </c:pt>
                <c:pt idx="43">
                  <c:v>13187669.360823223</c:v>
                </c:pt>
                <c:pt idx="44">
                  <c:v>13820408.35830597</c:v>
                </c:pt>
                <c:pt idx="45">
                  <c:v>14457252.035921773</c:v>
                </c:pt>
                <c:pt idx="46">
                  <c:v>15098225.041400263</c:v>
                </c:pt>
                <c:pt idx="47">
                  <c:v>15743352.16918184</c:v>
                </c:pt>
                <c:pt idx="48">
                  <c:v>16485810.692168582</c:v>
                </c:pt>
                <c:pt idx="49">
                  <c:v>17246396.635931659</c:v>
                </c:pt>
                <c:pt idx="50">
                  <c:v>18011836.581937905</c:v>
                </c:pt>
                <c:pt idx="51">
                  <c:v>18782159.563746996</c:v>
                </c:pt>
                <c:pt idx="52">
                  <c:v>19557394.787274983</c:v>
                </c:pt>
                <c:pt idx="53">
                  <c:v>20337571.631812185</c:v>
                </c:pt>
                <c:pt idx="54">
                  <c:v>21122719.651047058</c:v>
                </c:pt>
                <c:pt idx="55">
                  <c:v>21912868.574096095</c:v>
                </c:pt>
                <c:pt idx="56">
                  <c:v>22708048.306539796</c:v>
                </c:pt>
                <c:pt idx="57">
                  <c:v>23508288.931464721</c:v>
                </c:pt>
                <c:pt idx="58">
                  <c:v>24313620.710511673</c:v>
                </c:pt>
                <c:pt idx="59">
                  <c:v>25124074.084930066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F61A-44B4-BC25-8547461A00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434607"/>
        <c:axId val="42433359"/>
      </c:lineChart>
      <c:catAx>
        <c:axId val="42434607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2433359"/>
        <c:crosses val="autoZero"/>
        <c:auto val="1"/>
        <c:lblAlgn val="ctr"/>
        <c:lblOffset val="100"/>
        <c:tickLblSkip val="5"/>
        <c:tickMarkSkip val="10"/>
        <c:noMultiLvlLbl val="0"/>
      </c:catAx>
      <c:valAx>
        <c:axId val="4243335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243460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0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 sz="1000" b="1"/>
              <a:t>Структура выручки</a:t>
            </a:r>
          </a:p>
        </c:rich>
      </c:tx>
      <c:layout>
        <c:manualLayout>
          <c:xMode val="edge"/>
          <c:yMode val="edge"/>
          <c:x val="1.4118463557439936E-2"/>
          <c:y val="1.14285714285714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9.8940836547557698E-2"/>
          <c:y val="6.9493062851622628E-2"/>
          <c:w val="0.807553048690973"/>
          <c:h val="0.89843752574858105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BF2-4CBE-ABD1-B6259B7071A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BF2-4CBE-ABD1-B6259B7071A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BF2-4CBE-ABD1-B6259B7071A5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DBF2-4CBE-ABD1-B6259B7071A5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DBF2-4CBE-ABD1-B6259B7071A5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DBF2-4CBE-ABD1-B6259B7071A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 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Результаты!$AC$7:$AC$10</c:f>
              <c:strCache>
                <c:ptCount val="4"/>
                <c:pt idx="0">
                  <c:v>Стандарт PC</c:v>
                </c:pt>
                <c:pt idx="1">
                  <c:v>Sony PS </c:v>
                </c:pt>
                <c:pt idx="2">
                  <c:v>Кафе</c:v>
                </c:pt>
                <c:pt idx="3">
                  <c:v>Прочие</c:v>
                </c:pt>
              </c:strCache>
            </c:strRef>
          </c:cat>
          <c:val>
            <c:numRef>
              <c:f>Результаты!$AE$7:$AE$10</c:f>
              <c:numCache>
                <c:formatCode>0%</c:formatCode>
                <c:ptCount val="4"/>
                <c:pt idx="0">
                  <c:v>0.61291821401115787</c:v>
                </c:pt>
                <c:pt idx="1">
                  <c:v>0.17706526182544563</c:v>
                </c:pt>
                <c:pt idx="2">
                  <c:v>0.18316848471257952</c:v>
                </c:pt>
                <c:pt idx="3">
                  <c:v>2.6848039450817068E-2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16-44DC-8A18-5AB6A26E71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0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 sz="1000" b="1"/>
              <a:t>Структура</a:t>
            </a:r>
            <a:r>
              <a:rPr lang="ru-RU" sz="1000" b="1" baseline="0"/>
              <a:t> затрат</a:t>
            </a:r>
            <a:endParaRPr lang="ru-RU" sz="1000" b="1"/>
          </a:p>
        </c:rich>
      </c:tx>
      <c:layout>
        <c:manualLayout>
          <c:xMode val="edge"/>
          <c:yMode val="edge"/>
          <c:x val="0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0.12596794218511739"/>
          <c:y val="5.9683700586619357E-2"/>
          <c:w val="0.80397745420820466"/>
          <c:h val="0.89763066732991847"/>
        </c:manualLayout>
      </c:layout>
      <c:pieChart>
        <c:varyColors val="1"/>
        <c:ser>
          <c:idx val="0"/>
          <c:order val="0"/>
          <c:explosion val="2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F7A-48FE-A56F-FF64729B9A1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F7A-48FE-A56F-FF64729B9A1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4F7A-48FE-A56F-FF64729B9A1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5BF8-48AA-8E3A-78C3FE59C222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4F7A-48FE-A56F-FF64729B9A10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4F7A-48FE-A56F-FF64729B9A10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4F7A-48FE-A56F-FF64729B9A10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4F7A-48FE-A56F-FF64729B9A10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4F7A-48FE-A56F-FF64729B9A10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4F7A-48FE-A56F-FF64729B9A10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4F7A-48FE-A56F-FF64729B9A10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EF0A-4DEA-8E8C-02A0A316259D}"/>
              </c:ext>
            </c:extLst>
          </c:dPt>
          <c:dLbls>
            <c:dLbl>
              <c:idx val="3"/>
              <c:layout>
                <c:manualLayout>
                  <c:x val="2.9655593757744927E-2"/>
                  <c:y val="-1.561776955113373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BF8-48AA-8E3A-78C3FE59C22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 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Результаты!$AC$13:$AC$24</c:f>
              <c:strCache>
                <c:ptCount val="12"/>
                <c:pt idx="0">
                  <c:v>Аренда помещения</c:v>
                </c:pt>
                <c:pt idx="1">
                  <c:v>Коммуналка</c:v>
                </c:pt>
                <c:pt idx="2">
                  <c:v>ЗП</c:v>
                </c:pt>
                <c:pt idx="3">
                  <c:v>Реклама</c:v>
                </c:pt>
                <c:pt idx="4">
                  <c:v>Налоги (УСН 6%)</c:v>
                </c:pt>
                <c:pt idx="5">
                  <c:v>Патент</c:v>
                </c:pt>
                <c:pt idx="6">
                  <c:v>Роялти </c:v>
                </c:pt>
                <c:pt idx="7">
                  <c:v>Налоги ЕСН</c:v>
                </c:pt>
                <c:pt idx="8">
                  <c:v>Закупки Бар</c:v>
                </c:pt>
                <c:pt idx="9">
                  <c:v>Интернет</c:v>
                </c:pt>
                <c:pt idx="11">
                  <c:v>Прочие</c:v>
                </c:pt>
              </c:strCache>
            </c:strRef>
          </c:cat>
          <c:val>
            <c:numRef>
              <c:f>Результаты!$AE$13:$AE$24</c:f>
              <c:numCache>
                <c:formatCode>0%</c:formatCode>
                <c:ptCount val="12"/>
                <c:pt idx="0">
                  <c:v>0.17910095095913708</c:v>
                </c:pt>
                <c:pt idx="1">
                  <c:v>4.6545585143826465E-2</c:v>
                </c:pt>
                <c:pt idx="2">
                  <c:v>0.23101669097119748</c:v>
                </c:pt>
                <c:pt idx="3">
                  <c:v>6.6133267098041709E-2</c:v>
                </c:pt>
                <c:pt idx="4">
                  <c:v>0</c:v>
                </c:pt>
                <c:pt idx="5">
                  <c:v>7.9187123190191007E-3</c:v>
                </c:pt>
                <c:pt idx="6">
                  <c:v>9.8729408911328365E-2</c:v>
                </c:pt>
                <c:pt idx="7">
                  <c:v>4.9032666679366274E-2</c:v>
                </c:pt>
                <c:pt idx="8">
                  <c:v>0.1737314693056613</c:v>
                </c:pt>
                <c:pt idx="9">
                  <c:v>4.278086869836991E-2</c:v>
                </c:pt>
                <c:pt idx="11">
                  <c:v>0.10501037991405233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F8-48AA-8E3A-78C3FE59C2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0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 sz="1000" b="1"/>
              <a:t>Структура</a:t>
            </a:r>
            <a:r>
              <a:rPr lang="ru-RU" sz="1000" b="1" baseline="0"/>
              <a:t> инвестиций</a:t>
            </a:r>
            <a:endParaRPr lang="ru-RU" sz="1000" b="1"/>
          </a:p>
        </c:rich>
      </c:tx>
      <c:layout>
        <c:manualLayout>
          <c:xMode val="edge"/>
          <c:yMode val="edge"/>
          <c:x val="4.8868884910556751E-3"/>
          <c:y val="1.5030083708512005E-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0.11224455303481248"/>
          <c:y val="8.0345032774636754E-2"/>
          <c:w val="0.77551089393037509"/>
          <c:h val="0.87245000143057427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32B-4B53-824E-57576437E0C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32B-4B53-824E-57576437E0C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32B-4B53-824E-57576437E0C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32B-4B53-824E-57576437E0C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 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Результаты!$AC$29:$AC$32</c:f>
              <c:strCache>
                <c:ptCount val="4"/>
                <c:pt idx="0">
                  <c:v>Помещение</c:v>
                </c:pt>
                <c:pt idx="1">
                  <c:v>Игровые места и мебель</c:v>
                </c:pt>
                <c:pt idx="2">
                  <c:v>Кафе и администратор</c:v>
                </c:pt>
                <c:pt idx="3">
                  <c:v>Прочие</c:v>
                </c:pt>
              </c:strCache>
            </c:strRef>
          </c:cat>
          <c:val>
            <c:numRef>
              <c:f>Результаты!$AE$29:$AE$32</c:f>
              <c:numCache>
                <c:formatCode>0%</c:formatCode>
                <c:ptCount val="4"/>
                <c:pt idx="0">
                  <c:v>0.32824457802611023</c:v>
                </c:pt>
                <c:pt idx="1">
                  <c:v>0.47091398988427824</c:v>
                </c:pt>
                <c:pt idx="2">
                  <c:v>4.3610809522548526E-2</c:v>
                </c:pt>
                <c:pt idx="3">
                  <c:v>0.15723062256706299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9F-4120-A564-F868B7E247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0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 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 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 /><Relationship Id="rId7" Type="http://schemas.openxmlformats.org/officeDocument/2006/relationships/chart" Target="../charts/chart6.xml" /><Relationship Id="rId2" Type="http://schemas.openxmlformats.org/officeDocument/2006/relationships/chart" Target="../charts/chart1.xml" /><Relationship Id="rId1" Type="http://schemas.openxmlformats.org/officeDocument/2006/relationships/image" Target="../media/image1.jpeg" /><Relationship Id="rId6" Type="http://schemas.openxmlformats.org/officeDocument/2006/relationships/chart" Target="../charts/chart5.xml" /><Relationship Id="rId5" Type="http://schemas.openxmlformats.org/officeDocument/2006/relationships/chart" Target="../charts/chart4.xml" /><Relationship Id="rId4" Type="http://schemas.openxmlformats.org/officeDocument/2006/relationships/chart" Target="../charts/chart3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25400</xdr:colOff>
      <xdr:row>3</xdr:row>
      <xdr:rowOff>46205</xdr:rowOff>
    </xdr:to>
    <xdr:pic>
      <xdr:nvPicPr>
        <xdr:cNvPr id="2" name="Рисунок 1" descr="https://spb.hh.ru/employer-logo/3010673.jpe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38175" cy="638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</xdr:col>
      <xdr:colOff>9526</xdr:colOff>
      <xdr:row>5</xdr:row>
      <xdr:rowOff>66648</xdr:rowOff>
    </xdr:to>
    <xdr:pic>
      <xdr:nvPicPr>
        <xdr:cNvPr id="3" name="Рисунок 2" descr="https://spb.hh.ru/employer-logo/3010673.jpe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590550" cy="634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12326</xdr:colOff>
      <xdr:row>3</xdr:row>
      <xdr:rowOff>40953</xdr:rowOff>
    </xdr:to>
    <xdr:pic>
      <xdr:nvPicPr>
        <xdr:cNvPr id="4" name="Рисунок 3" descr="https://spb.hh.ru/employer-logo/3010673.jpeg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81025" cy="6221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106681</xdr:colOff>
      <xdr:row>2</xdr:row>
      <xdr:rowOff>30480</xdr:rowOff>
    </xdr:from>
    <xdr:to>
      <xdr:col>16</xdr:col>
      <xdr:colOff>472441</xdr:colOff>
      <xdr:row>13</xdr:row>
      <xdr:rowOff>76200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104775</xdr:colOff>
      <xdr:row>13</xdr:row>
      <xdr:rowOff>99060</xdr:rowOff>
    </xdr:from>
    <xdr:to>
      <xdr:col>16</xdr:col>
      <xdr:colOff>472440</xdr:colOff>
      <xdr:row>27</xdr:row>
      <xdr:rowOff>133350</xdr:rowOff>
    </xdr:to>
    <xdr:graphicFrame macro="">
      <xdr:nvGraphicFramePr>
        <xdr:cNvPr id="5" name="Диаграмма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106679</xdr:colOff>
      <xdr:row>28</xdr:row>
      <xdr:rowOff>7620</xdr:rowOff>
    </xdr:from>
    <xdr:to>
      <xdr:col>16</xdr:col>
      <xdr:colOff>457200</xdr:colOff>
      <xdr:row>40</xdr:row>
      <xdr:rowOff>175260</xdr:rowOff>
    </xdr:to>
    <xdr:graphicFrame macro="">
      <xdr:nvGraphicFramePr>
        <xdr:cNvPr id="6" name="Диаграмма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243026</xdr:colOff>
      <xdr:row>52</xdr:row>
      <xdr:rowOff>26893</xdr:rowOff>
    </xdr:from>
    <xdr:to>
      <xdr:col>7</xdr:col>
      <xdr:colOff>367554</xdr:colOff>
      <xdr:row>64</xdr:row>
      <xdr:rowOff>175791</xdr:rowOff>
    </xdr:to>
    <xdr:graphicFrame macro="">
      <xdr:nvGraphicFramePr>
        <xdr:cNvPr id="13" name="Диаграмма 12">
          <a:extLst>
            <a:ext uri="{FF2B5EF4-FFF2-40B4-BE49-F238E27FC236}">
              <a16:creationId xmlns:a16="http://schemas.microsoft.com/office/drawing/2014/main" id="{04084652-1AA2-4D52-9A77-7A1950FD1A6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421218</xdr:colOff>
      <xdr:row>52</xdr:row>
      <xdr:rowOff>38590</xdr:rowOff>
    </xdr:from>
    <xdr:to>
      <xdr:col>11</xdr:col>
      <xdr:colOff>502023</xdr:colOff>
      <xdr:row>65</xdr:row>
      <xdr:rowOff>8965</xdr:rowOff>
    </xdr:to>
    <xdr:graphicFrame macro="">
      <xdr:nvGraphicFramePr>
        <xdr:cNvPr id="14" name="Диаграмма 13">
          <a:extLst>
            <a:ext uri="{FF2B5EF4-FFF2-40B4-BE49-F238E27FC236}">
              <a16:creationId xmlns:a16="http://schemas.microsoft.com/office/drawing/2014/main" id="{B47E3D6D-F7BC-457D-B02D-A8408320F9C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11</xdr:col>
      <xdr:colOff>551330</xdr:colOff>
      <xdr:row>52</xdr:row>
      <xdr:rowOff>26894</xdr:rowOff>
    </xdr:from>
    <xdr:to>
      <xdr:col>16</xdr:col>
      <xdr:colOff>331695</xdr:colOff>
      <xdr:row>65</xdr:row>
      <xdr:rowOff>35858</xdr:rowOff>
    </xdr:to>
    <xdr:graphicFrame macro="">
      <xdr:nvGraphicFramePr>
        <xdr:cNvPr id="15" name="Диаграмма 14">
          <a:extLst>
            <a:ext uri="{FF2B5EF4-FFF2-40B4-BE49-F238E27FC236}">
              <a16:creationId xmlns:a16="http://schemas.microsoft.com/office/drawing/2014/main" id="{05036184-694B-4352-AB33-C31433A6D87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 /><Relationship Id="rId2" Type="http://schemas.openxmlformats.org/officeDocument/2006/relationships/printerSettings" Target="../printerSettings/printerSettings1.bin" /><Relationship Id="rId1" Type="http://schemas.openxmlformats.org/officeDocument/2006/relationships/hyperlink" Target="https://colizeum.ru/" TargetMode="External" 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 /><Relationship Id="rId2" Type="http://schemas.openxmlformats.org/officeDocument/2006/relationships/printerSettings" Target="../printerSettings/printerSettings2.bin" /><Relationship Id="rId1" Type="http://schemas.openxmlformats.org/officeDocument/2006/relationships/hyperlink" Target="https://colizeum.ru/" TargetMode="External" /><Relationship Id="rId5" Type="http://schemas.openxmlformats.org/officeDocument/2006/relationships/comments" Target="../comments1.xml" /><Relationship Id="rId4" Type="http://schemas.openxmlformats.org/officeDocument/2006/relationships/vmlDrawing" Target="../drawings/vmlDrawing1.vml" 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 /><Relationship Id="rId2" Type="http://schemas.openxmlformats.org/officeDocument/2006/relationships/printerSettings" Target="../printerSettings/printerSettings3.bin" /><Relationship Id="rId1" Type="http://schemas.openxmlformats.org/officeDocument/2006/relationships/hyperlink" Target="https://colizeum.ru/" TargetMode="External" /><Relationship Id="rId5" Type="http://schemas.openxmlformats.org/officeDocument/2006/relationships/comments" Target="../comments2.xml" /><Relationship Id="rId4" Type="http://schemas.openxmlformats.org/officeDocument/2006/relationships/vmlDrawing" Target="../drawings/vmlDrawing2.vml" 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C1:L128"/>
  <sheetViews>
    <sheetView tabSelected="1" topLeftCell="C1" zoomScale="85" zoomScaleNormal="85" workbookViewId="0">
      <selection activeCell="L93" sqref="L93"/>
    </sheetView>
  </sheetViews>
  <sheetFormatPr defaultColWidth="9.14453125" defaultRowHeight="15" x14ac:dyDescent="0.2"/>
  <cols>
    <col min="1" max="1" width="9.14453125" style="201"/>
    <col min="2" max="2" width="3.49609375" style="201" customWidth="1"/>
    <col min="3" max="3" width="61.33984375" style="201" customWidth="1"/>
    <col min="4" max="4" width="21.38671875" style="202" customWidth="1"/>
    <col min="5" max="5" width="18.96484375" style="202" customWidth="1"/>
    <col min="6" max="6" width="12.77734375" style="201" customWidth="1"/>
    <col min="7" max="7" width="13.85546875" style="201" customWidth="1"/>
    <col min="8" max="8" width="15.06640625" style="201" customWidth="1"/>
    <col min="9" max="9" width="10.4921875" style="201" customWidth="1"/>
    <col min="10" max="16384" width="9.14453125" style="201"/>
  </cols>
  <sheetData>
    <row r="1" spans="3:9" x14ac:dyDescent="0.2">
      <c r="C1" s="84" t="s">
        <v>22</v>
      </c>
      <c r="D1" s="85" t="s">
        <v>140</v>
      </c>
    </row>
    <row r="3" spans="3:9" s="90" customFormat="1" ht="15.75" thickBot="1" x14ac:dyDescent="0.25">
      <c r="C3" s="90" t="s">
        <v>48</v>
      </c>
      <c r="D3" s="91"/>
      <c r="E3" s="91"/>
      <c r="F3" s="91"/>
      <c r="G3" s="91"/>
    </row>
    <row r="4" spans="3:9" ht="30" customHeight="1" thickBot="1" x14ac:dyDescent="0.25">
      <c r="E4" s="43" t="s">
        <v>211</v>
      </c>
      <c r="F4" s="255" t="s">
        <v>204</v>
      </c>
    </row>
    <row r="5" spans="3:9" ht="9" customHeight="1" x14ac:dyDescent="0.2">
      <c r="G5" s="203"/>
    </row>
    <row r="6" spans="3:9" s="204" customFormat="1" ht="15.75" thickBot="1" x14ac:dyDescent="0.25">
      <c r="C6" s="5" t="s">
        <v>146</v>
      </c>
      <c r="D6" s="7" t="s">
        <v>23</v>
      </c>
      <c r="E6" s="7" t="s">
        <v>31</v>
      </c>
    </row>
    <row r="7" spans="3:9" ht="15.75" thickTop="1" x14ac:dyDescent="0.2">
      <c r="C7" s="205" t="s">
        <v>67</v>
      </c>
      <c r="D7" s="202" t="s">
        <v>1</v>
      </c>
      <c r="E7" s="206">
        <v>15</v>
      </c>
      <c r="F7" s="32" t="s">
        <v>245</v>
      </c>
    </row>
    <row r="8" spans="3:9" x14ac:dyDescent="0.2">
      <c r="C8" s="205" t="s">
        <v>180</v>
      </c>
      <c r="D8" s="202" t="s">
        <v>1</v>
      </c>
      <c r="E8" s="206">
        <v>2</v>
      </c>
    </row>
    <row r="9" spans="3:9" x14ac:dyDescent="0.2">
      <c r="C9" s="300" t="s">
        <v>233</v>
      </c>
      <c r="D9" s="202" t="s">
        <v>1</v>
      </c>
      <c r="E9" s="214">
        <f>E7+E8</f>
        <v>17</v>
      </c>
    </row>
    <row r="10" spans="3:9" x14ac:dyDescent="0.2">
      <c r="C10" s="205" t="s">
        <v>15</v>
      </c>
      <c r="D10" s="202" t="s">
        <v>2</v>
      </c>
      <c r="E10" s="301">
        <f>IF(E9&lt;20,E9*3.2,IF(E9&lt;30,E9*3.65,IF(E9&lt;40,E9*3.5,IF(E9&lt;60,E9*3.2,E9*2.9))))</f>
        <v>54.400000000000006</v>
      </c>
      <c r="F10" s="310"/>
    </row>
    <row r="11" spans="3:9" ht="11.25" customHeight="1" x14ac:dyDescent="0.2">
      <c r="C11" s="205"/>
      <c r="E11" s="201"/>
    </row>
    <row r="12" spans="3:9" s="5" customFormat="1" ht="18" thickBot="1" x14ac:dyDescent="0.25">
      <c r="C12" s="6" t="s">
        <v>143</v>
      </c>
      <c r="D12" s="7"/>
      <c r="E12" s="7"/>
    </row>
    <row r="13" spans="3:9" s="1" customFormat="1" ht="15.75" thickTop="1" x14ac:dyDescent="0.2">
      <c r="C13" s="195"/>
      <c r="D13" s="2"/>
      <c r="E13" s="24" t="s">
        <v>49</v>
      </c>
      <c r="F13" s="24" t="s">
        <v>50</v>
      </c>
      <c r="G13" s="24" t="s">
        <v>51</v>
      </c>
      <c r="H13" s="24" t="s">
        <v>52</v>
      </c>
      <c r="I13" s="33" t="s">
        <v>53</v>
      </c>
    </row>
    <row r="14" spans="3:9" x14ac:dyDescent="0.2">
      <c r="C14" s="205" t="s">
        <v>21</v>
      </c>
      <c r="D14" s="202" t="s">
        <v>7</v>
      </c>
      <c r="E14" s="208">
        <v>0.35</v>
      </c>
      <c r="F14" s="208">
        <v>0.4</v>
      </c>
      <c r="G14" s="208">
        <v>0.4</v>
      </c>
      <c r="H14" s="208">
        <v>0.45</v>
      </c>
      <c r="I14" s="208">
        <v>0.5</v>
      </c>
    </row>
    <row r="15" spans="3:9" x14ac:dyDescent="0.2">
      <c r="C15" s="205" t="s">
        <v>181</v>
      </c>
      <c r="D15" s="202" t="s">
        <v>7</v>
      </c>
      <c r="E15" s="208">
        <v>0.35</v>
      </c>
      <c r="F15" s="208">
        <v>0.4</v>
      </c>
      <c r="G15" s="208">
        <v>0.4</v>
      </c>
      <c r="H15" s="208">
        <v>0.45</v>
      </c>
      <c r="I15" s="208">
        <v>0.5</v>
      </c>
    </row>
    <row r="16" spans="3:9" x14ac:dyDescent="0.2">
      <c r="C16" s="205"/>
      <c r="E16" s="209"/>
    </row>
    <row r="17" spans="3:7" x14ac:dyDescent="0.2">
      <c r="C17" s="205" t="s">
        <v>11</v>
      </c>
      <c r="D17" s="202" t="s">
        <v>25</v>
      </c>
      <c r="E17" s="322">
        <v>120</v>
      </c>
      <c r="G17" s="310"/>
    </row>
    <row r="18" spans="3:7" x14ac:dyDescent="0.2">
      <c r="C18" s="205" t="s">
        <v>73</v>
      </c>
      <c r="D18" s="202" t="s">
        <v>25</v>
      </c>
      <c r="E18" s="322">
        <v>260</v>
      </c>
    </row>
    <row r="19" spans="3:7" x14ac:dyDescent="0.2">
      <c r="C19" s="205" t="s">
        <v>63</v>
      </c>
      <c r="D19" s="202" t="s">
        <v>64</v>
      </c>
      <c r="E19" s="323">
        <v>33</v>
      </c>
    </row>
    <row r="20" spans="3:7" ht="27.75" x14ac:dyDescent="0.2">
      <c r="C20" s="308" t="s">
        <v>246</v>
      </c>
      <c r="D20" s="202" t="s">
        <v>71</v>
      </c>
      <c r="E20" s="323">
        <v>25000</v>
      </c>
    </row>
    <row r="21" spans="3:7" x14ac:dyDescent="0.2">
      <c r="C21" s="205"/>
    </row>
    <row r="22" spans="3:7" s="5" customFormat="1" ht="18" thickBot="1" x14ac:dyDescent="0.25">
      <c r="C22" s="6" t="s">
        <v>144</v>
      </c>
      <c r="D22" s="7"/>
      <c r="E22" s="7"/>
    </row>
    <row r="23" spans="3:7" s="1" customFormat="1" ht="15.75" thickTop="1" x14ac:dyDescent="0.2">
      <c r="C23" s="201" t="s">
        <v>130</v>
      </c>
      <c r="D23" s="202" t="s">
        <v>158</v>
      </c>
      <c r="E23" s="304">
        <v>1500</v>
      </c>
      <c r="F23" s="32" t="s">
        <v>183</v>
      </c>
    </row>
    <row r="24" spans="3:7" s="1" customFormat="1" x14ac:dyDescent="0.2">
      <c r="C24" s="205" t="s">
        <v>121</v>
      </c>
      <c r="D24" s="202" t="s">
        <v>7</v>
      </c>
      <c r="E24" s="36">
        <v>0</v>
      </c>
      <c r="F24" s="32" t="s">
        <v>212</v>
      </c>
    </row>
    <row r="25" spans="3:7" x14ac:dyDescent="0.2">
      <c r="C25" s="205" t="s">
        <v>24</v>
      </c>
      <c r="D25" s="202" t="s">
        <v>46</v>
      </c>
      <c r="E25" s="208">
        <v>0.05</v>
      </c>
    </row>
    <row r="26" spans="3:7" x14ac:dyDescent="0.2">
      <c r="C26" s="257" t="s">
        <v>217</v>
      </c>
      <c r="D26" s="258" t="s">
        <v>7</v>
      </c>
      <c r="E26" s="208">
        <v>1</v>
      </c>
    </row>
    <row r="27" spans="3:7" x14ac:dyDescent="0.2">
      <c r="C27" s="205"/>
    </row>
    <row r="28" spans="3:7" x14ac:dyDescent="0.2">
      <c r="C28" s="201" t="s">
        <v>138</v>
      </c>
      <c r="D28" s="202" t="s">
        <v>98</v>
      </c>
      <c r="E28" s="210">
        <v>0</v>
      </c>
      <c r="F28" s="32" t="s">
        <v>213</v>
      </c>
    </row>
    <row r="29" spans="3:7" x14ac:dyDescent="0.2">
      <c r="C29" s="201" t="s">
        <v>184</v>
      </c>
      <c r="D29" s="202" t="s">
        <v>159</v>
      </c>
      <c r="E29" s="202">
        <f>IF((E7)&gt;=35,3,2)</f>
        <v>2</v>
      </c>
    </row>
    <row r="30" spans="3:7" x14ac:dyDescent="0.2">
      <c r="C30" s="201" t="s">
        <v>160</v>
      </c>
      <c r="D30" s="309" t="s">
        <v>247</v>
      </c>
      <c r="E30" s="210">
        <v>1800</v>
      </c>
      <c r="F30" s="32" t="s">
        <v>183</v>
      </c>
    </row>
    <row r="31" spans="3:7" x14ac:dyDescent="0.2">
      <c r="C31" s="205"/>
    </row>
    <row r="32" spans="3:7" x14ac:dyDescent="0.2">
      <c r="C32" s="201" t="s">
        <v>205</v>
      </c>
      <c r="D32" s="202" t="s">
        <v>25</v>
      </c>
      <c r="E32" s="206">
        <v>50000</v>
      </c>
      <c r="F32" s="32" t="s">
        <v>183</v>
      </c>
    </row>
    <row r="33" spans="3:6" x14ac:dyDescent="0.2">
      <c r="C33" s="201" t="s">
        <v>69</v>
      </c>
      <c r="D33" s="202" t="s">
        <v>47</v>
      </c>
      <c r="E33" s="211">
        <v>0.06</v>
      </c>
    </row>
    <row r="34" spans="3:6" x14ac:dyDescent="0.2">
      <c r="C34" s="201" t="s">
        <v>70</v>
      </c>
      <c r="D34" s="202" t="s">
        <v>71</v>
      </c>
      <c r="E34" s="206">
        <v>60000</v>
      </c>
    </row>
    <row r="35" spans="3:6" x14ac:dyDescent="0.2">
      <c r="C35" s="201" t="s">
        <v>202</v>
      </c>
      <c r="D35" s="202" t="s">
        <v>7</v>
      </c>
      <c r="E35" s="211">
        <v>0.43</v>
      </c>
      <c r="F35" s="32" t="s">
        <v>244</v>
      </c>
    </row>
    <row r="37" spans="3:6" x14ac:dyDescent="0.2">
      <c r="C37" s="201" t="s">
        <v>32</v>
      </c>
      <c r="D37" s="202" t="s">
        <v>7</v>
      </c>
      <c r="E37" s="208">
        <v>0.05</v>
      </c>
      <c r="F37" s="32" t="s">
        <v>161</v>
      </c>
    </row>
    <row r="38" spans="3:6" x14ac:dyDescent="0.2">
      <c r="C38" s="201" t="s">
        <v>162</v>
      </c>
      <c r="D38" s="202" t="s">
        <v>71</v>
      </c>
      <c r="E38" s="212">
        <v>30000</v>
      </c>
      <c r="F38" s="32"/>
    </row>
    <row r="39" spans="3:6" x14ac:dyDescent="0.2">
      <c r="C39" s="201" t="s">
        <v>112</v>
      </c>
      <c r="D39" s="202" t="s">
        <v>77</v>
      </c>
      <c r="E39" s="212">
        <v>2</v>
      </c>
    </row>
    <row r="41" spans="3:6" x14ac:dyDescent="0.2">
      <c r="C41" s="338" t="s">
        <v>268</v>
      </c>
      <c r="D41" s="202" t="s">
        <v>47</v>
      </c>
      <c r="E41" s="208">
        <v>0.03</v>
      </c>
      <c r="F41" s="32" t="s">
        <v>259</v>
      </c>
    </row>
    <row r="42" spans="3:6" x14ac:dyDescent="0.2">
      <c r="F42" s="32"/>
    </row>
    <row r="43" spans="3:6" x14ac:dyDescent="0.2">
      <c r="C43" s="201" t="s">
        <v>61</v>
      </c>
      <c r="D43" s="202" t="s">
        <v>7</v>
      </c>
      <c r="E43" s="208">
        <v>1.1000000000000001</v>
      </c>
    </row>
    <row r="45" spans="3:6" x14ac:dyDescent="0.2">
      <c r="C45" s="201" t="s">
        <v>203</v>
      </c>
      <c r="D45" s="202" t="s">
        <v>7</v>
      </c>
      <c r="E45" s="208">
        <v>0.3</v>
      </c>
    </row>
    <row r="46" spans="3:6" x14ac:dyDescent="0.2">
      <c r="C46" s="302" t="s">
        <v>236</v>
      </c>
      <c r="D46" s="202" t="s">
        <v>7</v>
      </c>
      <c r="E46" s="208">
        <v>0.45</v>
      </c>
    </row>
    <row r="47" spans="3:6" x14ac:dyDescent="0.2">
      <c r="C47" s="302" t="s">
        <v>239</v>
      </c>
      <c r="D47" s="202" t="s">
        <v>7</v>
      </c>
      <c r="E47" s="303">
        <f>100%-E45-E46</f>
        <v>0.24999999999999994</v>
      </c>
    </row>
    <row r="48" spans="3:6" x14ac:dyDescent="0.2">
      <c r="C48" s="302" t="s">
        <v>237</v>
      </c>
      <c r="D48" s="202" t="s">
        <v>7</v>
      </c>
      <c r="E48" s="259">
        <v>2.5000000000000001E-2</v>
      </c>
    </row>
    <row r="49" spans="3:6" x14ac:dyDescent="0.2">
      <c r="C49" s="302" t="s">
        <v>238</v>
      </c>
      <c r="D49" s="202" t="s">
        <v>7</v>
      </c>
      <c r="E49" s="259">
        <v>7.0000000000000001E-3</v>
      </c>
    </row>
    <row r="51" spans="3:6" ht="27.75" x14ac:dyDescent="0.2">
      <c r="C51" s="205" t="s">
        <v>206</v>
      </c>
      <c r="D51" s="202" t="s">
        <v>25</v>
      </c>
      <c r="E51" s="212">
        <v>400</v>
      </c>
      <c r="F51" s="32" t="s">
        <v>183</v>
      </c>
    </row>
    <row r="52" spans="3:6" x14ac:dyDescent="0.2">
      <c r="C52" s="201" t="s">
        <v>120</v>
      </c>
      <c r="D52" s="202" t="s">
        <v>142</v>
      </c>
      <c r="E52" s="210">
        <v>20000</v>
      </c>
    </row>
    <row r="53" spans="3:6" x14ac:dyDescent="0.2">
      <c r="C53" s="201" t="s">
        <v>185</v>
      </c>
      <c r="D53" s="202" t="s">
        <v>142</v>
      </c>
      <c r="E53" s="210">
        <v>3000</v>
      </c>
    </row>
    <row r="54" spans="3:6" x14ac:dyDescent="0.2">
      <c r="C54" s="201" t="s">
        <v>178</v>
      </c>
      <c r="D54" s="202" t="s">
        <v>71</v>
      </c>
      <c r="E54" s="210">
        <v>1500</v>
      </c>
      <c r="F54" s="32" t="s">
        <v>226</v>
      </c>
    </row>
    <row r="55" spans="3:6" x14ac:dyDescent="0.2">
      <c r="C55" s="302" t="s">
        <v>234</v>
      </c>
      <c r="D55" s="202" t="s">
        <v>71</v>
      </c>
      <c r="E55" s="202">
        <f>(E7)*440</f>
        <v>6600</v>
      </c>
    </row>
    <row r="56" spans="3:6" x14ac:dyDescent="0.2">
      <c r="C56" s="205" t="s">
        <v>207</v>
      </c>
      <c r="D56" s="202" t="s">
        <v>182</v>
      </c>
      <c r="E56" s="208">
        <v>0.03</v>
      </c>
    </row>
    <row r="58" spans="3:6" x14ac:dyDescent="0.2">
      <c r="C58" s="339" t="s">
        <v>269</v>
      </c>
      <c r="D58" s="349" t="s">
        <v>47</v>
      </c>
      <c r="E58" s="350">
        <v>1.7999999999999999E-2</v>
      </c>
      <c r="F58" s="32"/>
    </row>
    <row r="59" spans="3:6" ht="41.25" x14ac:dyDescent="0.2">
      <c r="C59" s="339" t="s">
        <v>270</v>
      </c>
      <c r="D59" s="349"/>
      <c r="E59" s="350"/>
      <c r="F59" s="32"/>
    </row>
    <row r="60" spans="3:6" x14ac:dyDescent="0.2">
      <c r="C60" s="339" t="s">
        <v>271</v>
      </c>
      <c r="D60" s="349"/>
      <c r="E60" s="350"/>
      <c r="F60" s="32"/>
    </row>
    <row r="61" spans="3:6" x14ac:dyDescent="0.2">
      <c r="C61" s="346" t="s">
        <v>275</v>
      </c>
      <c r="D61" s="349"/>
      <c r="E61" s="350"/>
      <c r="F61" s="32"/>
    </row>
    <row r="62" spans="3:6" x14ac:dyDescent="0.2">
      <c r="C62" s="339" t="s">
        <v>272</v>
      </c>
      <c r="D62" s="349"/>
      <c r="E62" s="350"/>
      <c r="F62" s="32"/>
    </row>
    <row r="63" spans="3:6" x14ac:dyDescent="0.2">
      <c r="E63" s="32"/>
      <c r="F63" s="32"/>
    </row>
    <row r="64" spans="3:6" x14ac:dyDescent="0.2">
      <c r="C64" s="213" t="s">
        <v>186</v>
      </c>
      <c r="D64" s="202" t="s">
        <v>71</v>
      </c>
      <c r="E64" s="210">
        <v>0</v>
      </c>
    </row>
    <row r="66" spans="3:12" x14ac:dyDescent="0.2">
      <c r="C66" s="205" t="s">
        <v>72</v>
      </c>
      <c r="E66" s="197" t="s">
        <v>54</v>
      </c>
      <c r="F66" s="32" t="s">
        <v>62</v>
      </c>
    </row>
    <row r="67" spans="3:12" x14ac:dyDescent="0.2">
      <c r="C67" s="205"/>
      <c r="E67" s="32"/>
      <c r="F67" s="32"/>
    </row>
    <row r="68" spans="3:12" x14ac:dyDescent="0.2">
      <c r="D68" s="201"/>
      <c r="E68" s="24" t="s">
        <v>49</v>
      </c>
      <c r="F68" s="24" t="s">
        <v>50</v>
      </c>
      <c r="G68" s="24" t="s">
        <v>51</v>
      </c>
      <c r="H68" s="24" t="s">
        <v>52</v>
      </c>
      <c r="I68" s="24" t="s">
        <v>53</v>
      </c>
    </row>
    <row r="69" spans="3:12" x14ac:dyDescent="0.2">
      <c r="C69" s="201" t="s">
        <v>5</v>
      </c>
      <c r="D69" s="201"/>
      <c r="E69" s="208">
        <v>0</v>
      </c>
      <c r="F69" s="208">
        <v>7.0000000000000007E-2</v>
      </c>
      <c r="G69" s="208">
        <v>7.0000000000000007E-2</v>
      </c>
      <c r="H69" s="208">
        <v>7.0000000000000007E-2</v>
      </c>
      <c r="I69" s="208">
        <v>7.0000000000000007E-2</v>
      </c>
    </row>
    <row r="70" spans="3:12" ht="14.65" customHeight="1" x14ac:dyDescent="0.2">
      <c r="F70" s="202"/>
    </row>
    <row r="71" spans="3:12" x14ac:dyDescent="0.2">
      <c r="C71" s="302" t="s">
        <v>242</v>
      </c>
      <c r="D71" s="201"/>
      <c r="E71" s="208">
        <v>0</v>
      </c>
      <c r="F71" s="208">
        <v>0.05</v>
      </c>
      <c r="G71" s="208">
        <v>0.05</v>
      </c>
      <c r="H71" s="208">
        <v>0.05</v>
      </c>
      <c r="I71" s="208">
        <v>0.05</v>
      </c>
      <c r="J71" s="32" t="s">
        <v>111</v>
      </c>
    </row>
    <row r="73" spans="3:12" x14ac:dyDescent="0.2">
      <c r="C73" s="205" t="s">
        <v>6</v>
      </c>
      <c r="D73" s="202" t="s">
        <v>7</v>
      </c>
      <c r="E73" s="208">
        <v>0.1</v>
      </c>
      <c r="F73" s="32" t="s">
        <v>280</v>
      </c>
    </row>
    <row r="74" spans="3:12" x14ac:dyDescent="0.2">
      <c r="C74" s="205"/>
    </row>
    <row r="75" spans="3:12" s="5" customFormat="1" ht="15.75" thickBot="1" x14ac:dyDescent="0.25">
      <c r="C75" s="6" t="s">
        <v>253</v>
      </c>
      <c r="D75" s="7"/>
      <c r="E75" s="7"/>
    </row>
    <row r="76" spans="3:12" ht="15.75" thickTop="1" x14ac:dyDescent="0.2">
      <c r="C76" s="315" t="s">
        <v>252</v>
      </c>
      <c r="E76" s="318" t="s">
        <v>254</v>
      </c>
      <c r="F76" s="32" t="s">
        <v>214</v>
      </c>
      <c r="L76" s="78" t="s">
        <v>54</v>
      </c>
    </row>
    <row r="77" spans="3:12" x14ac:dyDescent="0.2">
      <c r="C77" s="315" t="s">
        <v>255</v>
      </c>
      <c r="D77" s="312" t="s">
        <v>256</v>
      </c>
      <c r="E77" s="317">
        <f>IF(E76=L76,SUM(G97:G103),0)</f>
        <v>0</v>
      </c>
      <c r="F77" s="32"/>
      <c r="L77" s="78" t="s">
        <v>254</v>
      </c>
    </row>
    <row r="78" spans="3:12" s="311" customFormat="1" x14ac:dyDescent="0.2">
      <c r="C78" s="311" t="s">
        <v>257</v>
      </c>
      <c r="D78" s="312" t="s">
        <v>7</v>
      </c>
      <c r="E78" s="313">
        <v>0.2</v>
      </c>
      <c r="G78" s="201"/>
    </row>
    <row r="79" spans="3:12" s="311" customFormat="1" x14ac:dyDescent="0.2">
      <c r="C79" s="311" t="s">
        <v>248</v>
      </c>
      <c r="D79" s="312" t="s">
        <v>156</v>
      </c>
      <c r="E79" s="314">
        <v>3</v>
      </c>
      <c r="G79" s="201"/>
    </row>
    <row r="80" spans="3:12" s="311" customFormat="1" x14ac:dyDescent="0.2">
      <c r="C80" s="311" t="s">
        <v>258</v>
      </c>
      <c r="D80" s="312" t="s">
        <v>7</v>
      </c>
      <c r="E80" s="313">
        <v>0.1</v>
      </c>
      <c r="G80" s="201"/>
    </row>
    <row r="81" spans="3:7" s="311" customFormat="1" x14ac:dyDescent="0.2">
      <c r="C81" s="311" t="s">
        <v>249</v>
      </c>
      <c r="D81" s="312" t="s">
        <v>256</v>
      </c>
      <c r="E81" s="317">
        <f>E77*E80</f>
        <v>0</v>
      </c>
      <c r="G81" s="201"/>
    </row>
    <row r="82" spans="3:7" s="311" customFormat="1" x14ac:dyDescent="0.2">
      <c r="C82" s="311" t="s">
        <v>250</v>
      </c>
      <c r="D82" s="312" t="s">
        <v>256</v>
      </c>
      <c r="E82" s="316">
        <f>((E77-E77*E80)+(E77-E77*E80)*E78)/E79/12</f>
        <v>0</v>
      </c>
      <c r="G82" s="201"/>
    </row>
    <row r="84" spans="3:7" s="90" customFormat="1" x14ac:dyDescent="0.2">
      <c r="C84" s="90" t="s">
        <v>115</v>
      </c>
      <c r="D84" s="91"/>
      <c r="E84" s="91"/>
      <c r="F84" s="91"/>
      <c r="G84" s="91"/>
    </row>
    <row r="85" spans="3:7" ht="27.75" x14ac:dyDescent="0.2">
      <c r="D85" s="2" t="s">
        <v>0</v>
      </c>
      <c r="E85" s="2" t="s">
        <v>30</v>
      </c>
      <c r="F85" s="92" t="s">
        <v>114</v>
      </c>
      <c r="G85" s="2" t="s">
        <v>29</v>
      </c>
    </row>
    <row r="86" spans="3:7" s="11" customFormat="1" ht="15.75" thickBot="1" x14ac:dyDescent="0.25">
      <c r="C86" s="11" t="s">
        <v>27</v>
      </c>
      <c r="D86" s="12"/>
      <c r="F86" s="39"/>
      <c r="G86" s="39">
        <f>SUM(G87:G94)</f>
        <v>1983280.0000000002</v>
      </c>
    </row>
    <row r="87" spans="3:7" ht="15.75" thickTop="1" x14ac:dyDescent="0.2">
      <c r="C87" s="201" t="s">
        <v>187</v>
      </c>
      <c r="D87" s="202" t="s">
        <v>2</v>
      </c>
      <c r="E87" s="301">
        <f>'Вводные данные'!$E$10</f>
        <v>54.400000000000006</v>
      </c>
      <c r="F87" s="206">
        <v>24000</v>
      </c>
      <c r="G87" s="214">
        <f>E87*F87</f>
        <v>1305600.0000000002</v>
      </c>
    </row>
    <row r="88" spans="3:7" x14ac:dyDescent="0.2">
      <c r="C88" s="201" t="s">
        <v>118</v>
      </c>
      <c r="D88" s="202" t="s">
        <v>2</v>
      </c>
      <c r="E88" s="301">
        <f>'Вводные данные'!$E$10</f>
        <v>54.400000000000006</v>
      </c>
      <c r="F88" s="206">
        <v>7000</v>
      </c>
      <c r="G88" s="214">
        <f t="shared" ref="G88:G89" si="0">E88*F88</f>
        <v>380800.00000000006</v>
      </c>
    </row>
    <row r="89" spans="3:7" x14ac:dyDescent="0.2">
      <c r="C89" s="201" t="s">
        <v>174</v>
      </c>
      <c r="D89" s="202" t="s">
        <v>2</v>
      </c>
      <c r="E89" s="301">
        <f>'Вводные данные'!$E$10</f>
        <v>54.400000000000006</v>
      </c>
      <c r="F89" s="206">
        <v>1200</v>
      </c>
      <c r="G89" s="214">
        <f t="shared" si="0"/>
        <v>65280.000000000007</v>
      </c>
    </row>
    <row r="90" spans="3:7" x14ac:dyDescent="0.2">
      <c r="C90" s="201" t="s">
        <v>74</v>
      </c>
      <c r="D90" s="202" t="s">
        <v>75</v>
      </c>
      <c r="E90" s="301">
        <f>'Вводные данные'!$E$10</f>
        <v>54.400000000000006</v>
      </c>
      <c r="F90" s="206">
        <v>500</v>
      </c>
      <c r="G90" s="214">
        <f>E90*F90</f>
        <v>27200.000000000004</v>
      </c>
    </row>
    <row r="91" spans="3:7" x14ac:dyDescent="0.2">
      <c r="C91" s="201" t="s">
        <v>76</v>
      </c>
      <c r="D91" s="202" t="s">
        <v>25</v>
      </c>
      <c r="E91" s="301">
        <v>1</v>
      </c>
      <c r="F91" s="206">
        <v>100000</v>
      </c>
      <c r="G91" s="214">
        <f>E91*F91</f>
        <v>100000</v>
      </c>
    </row>
    <row r="92" spans="3:7" x14ac:dyDescent="0.2">
      <c r="C92" s="201" t="s">
        <v>176</v>
      </c>
      <c r="D92" s="202" t="s">
        <v>75</v>
      </c>
      <c r="E92" s="301">
        <f>'Вводные данные'!$E$10</f>
        <v>54.400000000000006</v>
      </c>
      <c r="F92" s="206">
        <v>1000</v>
      </c>
      <c r="G92" s="214">
        <f>E92*F92</f>
        <v>54400.000000000007</v>
      </c>
    </row>
    <row r="93" spans="3:7" x14ac:dyDescent="0.2">
      <c r="C93" s="201" t="s">
        <v>179</v>
      </c>
      <c r="D93" s="202" t="s">
        <v>25</v>
      </c>
      <c r="E93" s="301">
        <v>1</v>
      </c>
      <c r="F93" s="206">
        <v>50000</v>
      </c>
      <c r="G93" s="214">
        <f t="shared" ref="G93:G94" si="1">E93*F93</f>
        <v>50000</v>
      </c>
    </row>
    <row r="94" spans="3:7" x14ac:dyDescent="0.2">
      <c r="C94" s="213" t="s">
        <v>100</v>
      </c>
      <c r="F94" s="206"/>
      <c r="G94" s="214">
        <f t="shared" si="1"/>
        <v>0</v>
      </c>
    </row>
    <row r="95" spans="3:7" x14ac:dyDescent="0.2">
      <c r="F95" s="214"/>
      <c r="G95" s="214"/>
    </row>
    <row r="96" spans="3:7" s="11" customFormat="1" ht="15.75" thickBot="1" x14ac:dyDescent="0.25">
      <c r="C96" s="11" t="s">
        <v>175</v>
      </c>
      <c r="D96" s="12"/>
      <c r="E96" s="12"/>
      <c r="F96" s="40"/>
      <c r="G96" s="40">
        <f>IF(E76=L77,SUM(G97:G103),E81)</f>
        <v>2845300</v>
      </c>
    </row>
    <row r="97" spans="3:8" ht="15.75" thickTop="1" x14ac:dyDescent="0.2">
      <c r="C97" s="260" t="s">
        <v>222</v>
      </c>
      <c r="D97" s="202" t="s">
        <v>66</v>
      </c>
      <c r="E97" s="215">
        <f>'Вводные данные'!$E$7</f>
        <v>15</v>
      </c>
      <c r="F97" s="262">
        <f>IF(H97=Спецификация!A26,Спецификация!D26,IF(H97=Спецификация!$A$27,Спецификация!$D$27,IF(H97=Спецификация!#REF!,Спецификация!#REF!,IF(H97=Спецификация!#REF!,Спецификация!#REF!,0))))</f>
        <v>136020</v>
      </c>
      <c r="G97" s="214">
        <f>E97*F97</f>
        <v>2040300</v>
      </c>
      <c r="H97" s="298" t="s">
        <v>261</v>
      </c>
    </row>
    <row r="98" spans="3:8" x14ac:dyDescent="0.2">
      <c r="C98" s="299" t="s">
        <v>232</v>
      </c>
      <c r="D98" s="261" t="s">
        <v>66</v>
      </c>
      <c r="E98" s="214">
        <f>E97</f>
        <v>15</v>
      </c>
      <c r="F98" s="206">
        <v>17000</v>
      </c>
      <c r="G98" s="214">
        <f>E98*F98</f>
        <v>255000</v>
      </c>
    </row>
    <row r="99" spans="3:8" x14ac:dyDescent="0.2">
      <c r="C99" s="201" t="s">
        <v>188</v>
      </c>
      <c r="D99" s="202" t="s">
        <v>66</v>
      </c>
      <c r="E99" s="214">
        <f>'Вводные данные'!$E$8</f>
        <v>2</v>
      </c>
      <c r="F99" s="206">
        <v>200000</v>
      </c>
      <c r="G99" s="214">
        <f t="shared" ref="G99" si="2">E99*F99</f>
        <v>400000</v>
      </c>
    </row>
    <row r="100" spans="3:8" x14ac:dyDescent="0.2">
      <c r="C100" s="302" t="s">
        <v>235</v>
      </c>
      <c r="D100" s="202" t="s">
        <v>156</v>
      </c>
      <c r="E100" s="214"/>
      <c r="F100" s="206">
        <v>10</v>
      </c>
      <c r="G100" s="214"/>
    </row>
    <row r="101" spans="3:8" x14ac:dyDescent="0.2">
      <c r="C101" s="201" t="s">
        <v>208</v>
      </c>
      <c r="D101" s="216" t="s">
        <v>209</v>
      </c>
      <c r="E101" s="214"/>
      <c r="F101" s="211">
        <f>100/(F100*100)</f>
        <v>0.1</v>
      </c>
      <c r="G101" s="214"/>
    </row>
    <row r="102" spans="3:8" x14ac:dyDescent="0.2">
      <c r="C102" s="201" t="s">
        <v>177</v>
      </c>
      <c r="E102" s="214">
        <v>1</v>
      </c>
      <c r="F102" s="206">
        <v>150000</v>
      </c>
      <c r="G102" s="214">
        <f>F102*E102</f>
        <v>150000</v>
      </c>
    </row>
    <row r="103" spans="3:8" x14ac:dyDescent="0.2">
      <c r="C103" s="213" t="s">
        <v>100</v>
      </c>
      <c r="E103" s="214">
        <v>0</v>
      </c>
      <c r="F103" s="206">
        <v>0</v>
      </c>
      <c r="G103" s="214">
        <f>E103*F103</f>
        <v>0</v>
      </c>
    </row>
    <row r="104" spans="3:8" x14ac:dyDescent="0.2">
      <c r="E104" s="214"/>
      <c r="F104" s="217"/>
      <c r="G104" s="214"/>
    </row>
    <row r="105" spans="3:8" s="11" customFormat="1" ht="15.75" thickBot="1" x14ac:dyDescent="0.25">
      <c r="C105" s="11" t="s">
        <v>28</v>
      </c>
      <c r="D105" s="12"/>
      <c r="E105" s="12"/>
      <c r="F105" s="40"/>
      <c r="G105" s="40">
        <f>SUM(G106:G115)</f>
        <v>263500</v>
      </c>
    </row>
    <row r="106" spans="3:8" s="332" customFormat="1" ht="15.75" thickTop="1" x14ac:dyDescent="0.2">
      <c r="C106" s="332" t="s">
        <v>35</v>
      </c>
      <c r="D106" s="333" t="s">
        <v>1</v>
      </c>
      <c r="E106" s="334">
        <v>1</v>
      </c>
      <c r="F106" s="335">
        <v>55000</v>
      </c>
      <c r="G106" s="336">
        <f t="shared" ref="G106:G115" si="3">E106*F106</f>
        <v>55000</v>
      </c>
    </row>
    <row r="107" spans="3:8" s="332" customFormat="1" x14ac:dyDescent="0.2">
      <c r="C107" s="332" t="s">
        <v>36</v>
      </c>
      <c r="D107" s="333" t="s">
        <v>1</v>
      </c>
      <c r="E107" s="334">
        <v>1</v>
      </c>
      <c r="F107" s="335">
        <v>17500</v>
      </c>
      <c r="G107" s="336">
        <f t="shared" si="3"/>
        <v>17500</v>
      </c>
    </row>
    <row r="108" spans="3:8" s="332" customFormat="1" x14ac:dyDescent="0.2">
      <c r="C108" s="332" t="s">
        <v>40</v>
      </c>
      <c r="D108" s="333" t="s">
        <v>1</v>
      </c>
      <c r="E108" s="334">
        <v>1</v>
      </c>
      <c r="F108" s="335">
        <v>79000</v>
      </c>
      <c r="G108" s="336">
        <f t="shared" si="3"/>
        <v>79000</v>
      </c>
    </row>
    <row r="109" spans="3:8" s="332" customFormat="1" x14ac:dyDescent="0.2">
      <c r="C109" s="332" t="s">
        <v>41</v>
      </c>
      <c r="D109" s="333" t="s">
        <v>1</v>
      </c>
      <c r="E109" s="334">
        <v>1</v>
      </c>
      <c r="F109" s="335">
        <v>20000</v>
      </c>
      <c r="G109" s="336">
        <f t="shared" si="3"/>
        <v>20000</v>
      </c>
    </row>
    <row r="110" spans="3:8" s="332" customFormat="1" x14ac:dyDescent="0.2">
      <c r="C110" s="332" t="s">
        <v>37</v>
      </c>
      <c r="D110" s="333" t="s">
        <v>1</v>
      </c>
      <c r="E110" s="334">
        <v>1</v>
      </c>
      <c r="F110" s="335">
        <v>35000</v>
      </c>
      <c r="G110" s="336">
        <f t="shared" si="3"/>
        <v>35000</v>
      </c>
      <c r="H110" s="32"/>
    </row>
    <row r="111" spans="3:8" s="332" customFormat="1" x14ac:dyDescent="0.2">
      <c r="C111" s="332" t="s">
        <v>38</v>
      </c>
      <c r="D111" s="333" t="s">
        <v>1</v>
      </c>
      <c r="E111" s="334">
        <v>2</v>
      </c>
      <c r="F111" s="335">
        <v>3500</v>
      </c>
      <c r="G111" s="336">
        <f t="shared" si="3"/>
        <v>7000</v>
      </c>
      <c r="H111" s="32"/>
    </row>
    <row r="112" spans="3:8" s="332" customFormat="1" x14ac:dyDescent="0.2">
      <c r="C112" s="332" t="s">
        <v>265</v>
      </c>
      <c r="D112" s="333" t="s">
        <v>1</v>
      </c>
      <c r="E112" s="334">
        <v>1</v>
      </c>
      <c r="F112" s="335">
        <v>50000</v>
      </c>
      <c r="G112" s="336">
        <f t="shared" si="3"/>
        <v>50000</v>
      </c>
    </row>
    <row r="113" spans="3:8" s="332" customFormat="1" x14ac:dyDescent="0.2">
      <c r="C113" s="332" t="s">
        <v>39</v>
      </c>
      <c r="D113" s="333" t="s">
        <v>1</v>
      </c>
      <c r="E113" s="334">
        <v>0</v>
      </c>
      <c r="F113" s="335">
        <v>36000</v>
      </c>
      <c r="G113" s="336">
        <f t="shared" si="3"/>
        <v>0</v>
      </c>
      <c r="H113" s="32" t="s">
        <v>213</v>
      </c>
    </row>
    <row r="114" spans="3:8" s="332" customFormat="1" ht="15.75" customHeight="1" x14ac:dyDescent="0.2">
      <c r="C114" s="332" t="s">
        <v>119</v>
      </c>
      <c r="D114" s="333" t="s">
        <v>1</v>
      </c>
      <c r="E114" s="334">
        <v>0</v>
      </c>
      <c r="F114" s="335">
        <v>11000</v>
      </c>
      <c r="G114" s="336">
        <f t="shared" si="3"/>
        <v>0</v>
      </c>
      <c r="H114" s="32" t="s">
        <v>213</v>
      </c>
    </row>
    <row r="115" spans="3:8" s="332" customFormat="1" ht="15.4" customHeight="1" x14ac:dyDescent="0.2">
      <c r="C115" s="337" t="s">
        <v>100</v>
      </c>
      <c r="D115" s="333"/>
      <c r="E115" s="334"/>
      <c r="F115" s="335"/>
      <c r="G115" s="336">
        <f t="shared" si="3"/>
        <v>0</v>
      </c>
    </row>
    <row r="116" spans="3:8" x14ac:dyDescent="0.2">
      <c r="F116" s="214"/>
      <c r="G116" s="214"/>
    </row>
    <row r="117" spans="3:8" s="11" customFormat="1" ht="15.75" thickBot="1" x14ac:dyDescent="0.25">
      <c r="C117" s="11" t="s">
        <v>56</v>
      </c>
      <c r="D117" s="12"/>
      <c r="E117" s="12"/>
      <c r="F117" s="40"/>
      <c r="G117" s="40">
        <f>SUM(G118:G120)</f>
        <v>950000</v>
      </c>
    </row>
    <row r="118" spans="3:8" ht="15.75" thickTop="1" x14ac:dyDescent="0.2">
      <c r="C118" s="201" t="s">
        <v>4</v>
      </c>
      <c r="D118" s="202" t="s">
        <v>1</v>
      </c>
      <c r="E118" s="210">
        <v>1</v>
      </c>
      <c r="F118" s="207">
        <v>900000</v>
      </c>
      <c r="G118" s="214">
        <f>E118*F118</f>
        <v>900000</v>
      </c>
    </row>
    <row r="119" spans="3:8" x14ac:dyDescent="0.2">
      <c r="C119" s="256" t="s">
        <v>215</v>
      </c>
      <c r="E119" s="210">
        <v>1</v>
      </c>
      <c r="F119" s="206">
        <v>50000</v>
      </c>
      <c r="G119" s="214">
        <f t="shared" ref="G119" si="4">E119*F119</f>
        <v>50000</v>
      </c>
    </row>
    <row r="120" spans="3:8" x14ac:dyDescent="0.2">
      <c r="C120" s="213" t="s">
        <v>100</v>
      </c>
      <c r="E120" s="210">
        <v>0</v>
      </c>
      <c r="F120" s="206">
        <v>0</v>
      </c>
      <c r="G120" s="214">
        <f t="shared" ref="G120" si="5">E120*F120</f>
        <v>0</v>
      </c>
    </row>
    <row r="121" spans="3:8" x14ac:dyDescent="0.2">
      <c r="C121" s="214"/>
      <c r="D121" s="214"/>
      <c r="E121" s="214"/>
      <c r="F121" s="214"/>
      <c r="G121" s="214"/>
    </row>
    <row r="122" spans="3:8" s="8" customFormat="1" ht="15.75" thickBot="1" x14ac:dyDescent="0.25">
      <c r="C122" s="8" t="s">
        <v>34</v>
      </c>
      <c r="D122" s="9"/>
      <c r="E122" s="9"/>
      <c r="F122" s="41"/>
      <c r="G122" s="42">
        <f>G96+G86+G105+G117</f>
        <v>6042080</v>
      </c>
    </row>
    <row r="123" spans="3:8" s="25" customFormat="1" ht="15.75" thickTop="1" x14ac:dyDescent="0.2">
      <c r="C123" s="25" t="s">
        <v>79</v>
      </c>
      <c r="D123" s="26"/>
      <c r="E123" s="26"/>
      <c r="F123" s="27"/>
      <c r="G123" s="27">
        <f>G122-Модель!BU178</f>
        <v>6042080</v>
      </c>
    </row>
    <row r="124" spans="3:8" x14ac:dyDescent="0.2">
      <c r="F124" s="218"/>
      <c r="G124" s="218"/>
    </row>
    <row r="125" spans="3:8" x14ac:dyDescent="0.2">
      <c r="F125" s="218"/>
      <c r="G125" s="218"/>
    </row>
    <row r="126" spans="3:8" x14ac:dyDescent="0.2">
      <c r="F126" s="218"/>
      <c r="G126" s="218"/>
    </row>
    <row r="127" spans="3:8" x14ac:dyDescent="0.2">
      <c r="F127" s="218"/>
      <c r="G127" s="218"/>
    </row>
    <row r="128" spans="3:8" x14ac:dyDescent="0.2">
      <c r="F128" s="218"/>
      <c r="G128" s="218"/>
    </row>
  </sheetData>
  <dataConsolidate/>
  <mergeCells count="2">
    <mergeCell ref="D58:D62"/>
    <mergeCell ref="E58:E62"/>
  </mergeCells>
  <phoneticPr fontId="34" type="noConversion"/>
  <dataValidations count="2">
    <dataValidation type="list" allowBlank="1" showInputMessage="1" showErrorMessage="1" sqref="E66" xr:uid="{00000000-0002-0000-0000-000000000000}">
      <formula1>$D$107:$D$108</formula1>
    </dataValidation>
    <dataValidation type="list" allowBlank="1" showInputMessage="1" showErrorMessage="1" sqref="E76" xr:uid="{6EDE0D9F-754E-4380-9388-3543EEA5E31D}">
      <formula1>$L$76:$L$77</formula1>
    </dataValidation>
  </dataValidations>
  <hyperlinks>
    <hyperlink ref="D1" r:id="rId1" xr:uid="{00000000-0004-0000-0000-000000000000}"/>
  </hyperlinks>
  <pageMargins left="0.7" right="0.7" top="0.75" bottom="0.75" header="0.3" footer="0.3"/>
  <pageSetup paperSize="9" orientation="portrait" r:id="rId2"/>
  <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D1863D9-216B-4880-998B-F8A2CC1000DB}">
          <x14:formula1>
            <xm:f>Спецификация!$A$26:$A$27</xm:f>
          </x14:formula1>
          <xm:sqref>H97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</sheetPr>
  <dimension ref="A1:BV196"/>
  <sheetViews>
    <sheetView topLeftCell="A36" zoomScale="90" zoomScaleNormal="90" workbookViewId="0">
      <selection activeCell="D105" sqref="D105"/>
    </sheetView>
  </sheetViews>
  <sheetFormatPr defaultColWidth="8.609375" defaultRowHeight="15" outlineLevelRow="1" outlineLevelCol="1" x14ac:dyDescent="0.2"/>
  <cols>
    <col min="1" max="1" width="8.609375" style="225"/>
    <col min="2" max="2" width="3.62890625" style="225" customWidth="1"/>
    <col min="3" max="3" width="49.7734375" style="225" customWidth="1"/>
    <col min="4" max="4" width="11.02734375" style="226" bestFit="1" customWidth="1"/>
    <col min="5" max="5" width="5.24609375" style="225" customWidth="1"/>
    <col min="6" max="6" width="10.89453125" style="225" customWidth="1" outlineLevel="1"/>
    <col min="7" max="8" width="9.81640625" style="225" customWidth="1" outlineLevel="1"/>
    <col min="9" max="9" width="9.68359375" style="225" customWidth="1" outlineLevel="1"/>
    <col min="10" max="11" width="9.28125" style="225" customWidth="1" outlineLevel="1"/>
    <col min="12" max="12" width="9.14453125" style="225" customWidth="1" outlineLevel="1"/>
    <col min="13" max="15" width="9.28125" style="225" customWidth="1" outlineLevel="1"/>
    <col min="16" max="17" width="9.14453125" style="225" customWidth="1" outlineLevel="1"/>
    <col min="18" max="19" width="9.28125" style="225" customWidth="1" outlineLevel="1"/>
    <col min="20" max="20" width="8.875" style="225" customWidth="1" outlineLevel="1"/>
    <col min="21" max="21" width="8.7421875" style="225" customWidth="1" outlineLevel="1"/>
    <col min="22" max="22" width="9.14453125" style="225" customWidth="1" outlineLevel="1"/>
    <col min="23" max="24" width="9.28125" style="225" customWidth="1" outlineLevel="1"/>
    <col min="25" max="25" width="8.875" style="225" customWidth="1" outlineLevel="1"/>
    <col min="26" max="26" width="9.14453125" style="225" customWidth="1" outlineLevel="1"/>
    <col min="27" max="27" width="9.28125" style="225" customWidth="1" outlineLevel="1"/>
    <col min="28" max="29" width="8.875" style="225" customWidth="1" outlineLevel="1"/>
    <col min="30" max="31" width="9.28125" style="225" customWidth="1" outlineLevel="1"/>
    <col min="32" max="32" width="8.875" style="225" customWidth="1" outlineLevel="1"/>
    <col min="33" max="33" width="9.4140625" style="225" customWidth="1" outlineLevel="1"/>
    <col min="34" max="34" width="8.875" style="225" customWidth="1" outlineLevel="1"/>
    <col min="35" max="35" width="9.28125" style="225" customWidth="1" outlineLevel="1"/>
    <col min="36" max="36" width="9.14453125" style="225" customWidth="1" outlineLevel="1"/>
    <col min="37" max="37" width="9.28125" style="225" customWidth="1" outlineLevel="1"/>
    <col min="38" max="38" width="9.14453125" style="225" customWidth="1" outlineLevel="1"/>
    <col min="39" max="39" width="8.7421875" style="225" customWidth="1" outlineLevel="1"/>
    <col min="40" max="42" width="9.28125" style="225" customWidth="1" outlineLevel="1"/>
    <col min="43" max="44" width="9.14453125" style="225" customWidth="1" outlineLevel="1"/>
    <col min="45" max="47" width="9.28125" style="225" customWidth="1" outlineLevel="1"/>
    <col min="48" max="49" width="8.875" style="225" customWidth="1" outlineLevel="1"/>
    <col min="50" max="50" width="9.28125" style="225" customWidth="1" outlineLevel="1"/>
    <col min="51" max="51" width="9.14453125" style="225" customWidth="1" outlineLevel="1"/>
    <col min="52" max="52" width="8.7421875" style="225" customWidth="1" outlineLevel="1"/>
    <col min="53" max="53" width="9.28125" style="225" customWidth="1" outlineLevel="1"/>
    <col min="54" max="54" width="9.14453125" style="225" customWidth="1" outlineLevel="1"/>
    <col min="55" max="56" width="9.28125" style="225" customWidth="1" outlineLevel="1"/>
    <col min="57" max="57" width="8.7421875" style="225" customWidth="1" outlineLevel="1"/>
    <col min="58" max="59" width="8.875" style="225" customWidth="1" outlineLevel="1"/>
    <col min="60" max="60" width="9.28125" style="225" customWidth="1" outlineLevel="1"/>
    <col min="61" max="61" width="8.7421875" style="225" customWidth="1" outlineLevel="1"/>
    <col min="62" max="62" width="8.875" style="225" customWidth="1" outlineLevel="1"/>
    <col min="63" max="64" width="9.28125" style="225" customWidth="1" outlineLevel="1"/>
    <col min="65" max="65" width="9.14453125" style="225" customWidth="1" outlineLevel="1"/>
    <col min="66" max="66" width="8.609375" style="225" customWidth="1" outlineLevel="1"/>
    <col min="67" max="67" width="10.0859375" style="225" customWidth="1" outlineLevel="1"/>
    <col min="68" max="72" width="10.76171875" style="225" customWidth="1"/>
    <col min="73" max="73" width="14.2578125" style="225" customWidth="1"/>
    <col min="74" max="16384" width="8.609375" style="225"/>
  </cols>
  <sheetData>
    <row r="1" spans="1:73" s="201" customFormat="1" x14ac:dyDescent="0.2">
      <c r="C1" s="84" t="s">
        <v>22</v>
      </c>
      <c r="D1" s="85" t="s">
        <v>140</v>
      </c>
      <c r="E1" s="85"/>
      <c r="AO1" s="218" t="e">
        <f>'Вводные данные'!AO$97+'Вводные данные'!#REF!+'Вводные данные'!#REF!+'Вводные данные'!$G$99</f>
        <v>#REF!</v>
      </c>
    </row>
    <row r="2" spans="1:73" s="201" customFormat="1" x14ac:dyDescent="0.2">
      <c r="D2" s="202"/>
      <c r="E2" s="202"/>
      <c r="AO2" s="201">
        <f>('Вводные данные'!AN100*12)</f>
        <v>0</v>
      </c>
    </row>
    <row r="3" spans="1:73" s="98" customFormat="1" x14ac:dyDescent="0.2">
      <c r="A3" s="90"/>
      <c r="B3" s="90"/>
      <c r="C3" s="90" t="s">
        <v>42</v>
      </c>
      <c r="D3" s="91"/>
      <c r="E3" s="91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W3" s="90"/>
      <c r="X3" s="90"/>
      <c r="Y3" s="90"/>
      <c r="Z3" s="90"/>
      <c r="AA3" s="90"/>
      <c r="AB3" s="90"/>
      <c r="AC3" s="90"/>
      <c r="AD3" s="90"/>
      <c r="AE3" s="90"/>
      <c r="AF3" s="90"/>
      <c r="AG3" s="90"/>
      <c r="AH3" s="90"/>
      <c r="AI3" s="90"/>
      <c r="AJ3" s="90"/>
      <c r="AK3" s="90"/>
      <c r="AL3" s="90"/>
      <c r="AM3" s="90"/>
      <c r="AN3" s="90"/>
      <c r="AO3" s="90"/>
      <c r="AP3" s="90"/>
      <c r="AQ3" s="90"/>
      <c r="AR3" s="90"/>
      <c r="AS3" s="90"/>
      <c r="AT3" s="90"/>
      <c r="AU3" s="90"/>
      <c r="AV3" s="90"/>
      <c r="AW3" s="90"/>
      <c r="AX3" s="90"/>
      <c r="AY3" s="90"/>
      <c r="AZ3" s="90"/>
      <c r="BA3" s="90"/>
      <c r="BB3" s="90"/>
      <c r="BC3" s="90"/>
      <c r="BD3" s="90"/>
      <c r="BE3" s="90"/>
      <c r="BF3" s="90"/>
      <c r="BG3" s="90"/>
      <c r="BH3" s="90"/>
      <c r="BI3" s="90"/>
      <c r="BJ3" s="90"/>
      <c r="BK3" s="90"/>
      <c r="BL3" s="90"/>
      <c r="BM3" s="90"/>
      <c r="BN3" s="90"/>
      <c r="BO3" s="90"/>
      <c r="BP3" s="90"/>
      <c r="BQ3" s="90"/>
      <c r="BR3" s="90"/>
      <c r="BS3" s="90"/>
      <c r="BT3" s="90"/>
      <c r="BU3" s="90"/>
    </row>
    <row r="4" spans="1:73" s="94" customFormat="1" ht="8.4499999999999993" hidden="1" customHeight="1" x14ac:dyDescent="0.2">
      <c r="D4" s="95"/>
      <c r="E4" s="95"/>
      <c r="F4" s="94">
        <v>1</v>
      </c>
      <c r="G4" s="94">
        <v>1</v>
      </c>
      <c r="H4" s="94">
        <v>1</v>
      </c>
      <c r="I4" s="94">
        <v>1</v>
      </c>
      <c r="J4" s="94">
        <v>1</v>
      </c>
      <c r="K4" s="94">
        <v>1</v>
      </c>
      <c r="L4" s="94">
        <v>1</v>
      </c>
      <c r="M4" s="94">
        <v>1</v>
      </c>
      <c r="N4" s="94">
        <v>1</v>
      </c>
      <c r="O4" s="94">
        <v>1</v>
      </c>
      <c r="P4" s="94">
        <v>1</v>
      </c>
      <c r="Q4" s="94">
        <v>1</v>
      </c>
      <c r="R4" s="94">
        <v>2</v>
      </c>
      <c r="S4" s="94">
        <v>2</v>
      </c>
      <c r="T4" s="94">
        <v>2</v>
      </c>
      <c r="U4" s="94">
        <v>2</v>
      </c>
      <c r="V4" s="94">
        <v>2</v>
      </c>
      <c r="W4" s="94">
        <v>2</v>
      </c>
      <c r="X4" s="94">
        <v>2</v>
      </c>
      <c r="Y4" s="94">
        <v>2</v>
      </c>
      <c r="Z4" s="94">
        <v>2</v>
      </c>
      <c r="AA4" s="94">
        <v>2</v>
      </c>
      <c r="AB4" s="94">
        <v>2</v>
      </c>
      <c r="AC4" s="94">
        <v>2</v>
      </c>
      <c r="AD4" s="94">
        <v>3</v>
      </c>
      <c r="AE4" s="94">
        <v>3</v>
      </c>
      <c r="AF4" s="94">
        <v>3</v>
      </c>
      <c r="AG4" s="94">
        <v>3</v>
      </c>
      <c r="AH4" s="94">
        <v>3</v>
      </c>
      <c r="AI4" s="94">
        <v>3</v>
      </c>
      <c r="AJ4" s="94">
        <v>3</v>
      </c>
      <c r="AK4" s="94">
        <v>3</v>
      </c>
      <c r="AL4" s="94">
        <v>3</v>
      </c>
      <c r="AM4" s="94">
        <v>3</v>
      </c>
      <c r="AN4" s="94">
        <v>3</v>
      </c>
      <c r="AO4" s="94">
        <v>3</v>
      </c>
      <c r="AP4" s="94">
        <v>4</v>
      </c>
      <c r="AQ4" s="94">
        <v>4</v>
      </c>
      <c r="AR4" s="94">
        <v>4</v>
      </c>
      <c r="AS4" s="94">
        <v>4</v>
      </c>
      <c r="AT4" s="94">
        <v>4</v>
      </c>
      <c r="AU4" s="94">
        <v>4</v>
      </c>
      <c r="AV4" s="94">
        <v>4</v>
      </c>
      <c r="AW4" s="94">
        <v>4</v>
      </c>
      <c r="AX4" s="94">
        <v>4</v>
      </c>
      <c r="AY4" s="94">
        <v>4</v>
      </c>
      <c r="AZ4" s="94">
        <v>4</v>
      </c>
      <c r="BA4" s="94">
        <v>4</v>
      </c>
      <c r="BB4" s="94">
        <v>5</v>
      </c>
      <c r="BC4" s="94">
        <v>5</v>
      </c>
      <c r="BD4" s="94">
        <v>5</v>
      </c>
      <c r="BE4" s="94">
        <v>5</v>
      </c>
      <c r="BF4" s="94">
        <v>5</v>
      </c>
      <c r="BG4" s="94">
        <v>5</v>
      </c>
      <c r="BH4" s="94">
        <v>5</v>
      </c>
      <c r="BI4" s="94">
        <v>5</v>
      </c>
      <c r="BJ4" s="94">
        <v>5</v>
      </c>
      <c r="BK4" s="94">
        <v>5</v>
      </c>
      <c r="BL4" s="94">
        <v>5</v>
      </c>
      <c r="BM4" s="94">
        <v>5</v>
      </c>
    </row>
    <row r="5" spans="1:73" s="94" customFormat="1" ht="10.9" hidden="1" customHeight="1" x14ac:dyDescent="0.2">
      <c r="D5" s="95"/>
      <c r="E5" s="95"/>
      <c r="F5" s="94">
        <v>1</v>
      </c>
      <c r="G5" s="94">
        <v>1</v>
      </c>
      <c r="H5" s="94">
        <v>1</v>
      </c>
      <c r="I5" s="94">
        <v>1</v>
      </c>
      <c r="J5" s="94">
        <v>1</v>
      </c>
      <c r="K5" s="94">
        <v>1</v>
      </c>
      <c r="L5" s="94">
        <v>1</v>
      </c>
      <c r="M5" s="94">
        <v>1</v>
      </c>
      <c r="N5" s="94">
        <v>1</v>
      </c>
      <c r="O5" s="94">
        <v>1</v>
      </c>
      <c r="P5" s="94">
        <v>1</v>
      </c>
      <c r="Q5" s="94">
        <v>1</v>
      </c>
      <c r="R5" s="94">
        <v>1</v>
      </c>
      <c r="S5" s="94">
        <v>1</v>
      </c>
      <c r="T5" s="94">
        <v>1</v>
      </c>
      <c r="U5" s="94">
        <v>1</v>
      </c>
      <c r="V5" s="94">
        <v>1</v>
      </c>
      <c r="W5" s="94">
        <v>1</v>
      </c>
      <c r="X5" s="94">
        <v>1</v>
      </c>
      <c r="Y5" s="94">
        <v>1</v>
      </c>
      <c r="Z5" s="94">
        <v>1</v>
      </c>
      <c r="AA5" s="94">
        <v>1</v>
      </c>
      <c r="AB5" s="94">
        <v>1</v>
      </c>
      <c r="AC5" s="94">
        <v>1</v>
      </c>
      <c r="AD5" s="94">
        <v>1</v>
      </c>
      <c r="AE5" s="94">
        <v>1</v>
      </c>
      <c r="AF5" s="94">
        <v>1</v>
      </c>
      <c r="AG5" s="94">
        <v>1</v>
      </c>
      <c r="AH5" s="94">
        <v>1</v>
      </c>
      <c r="AI5" s="94">
        <v>1</v>
      </c>
      <c r="AJ5" s="94">
        <v>1</v>
      </c>
      <c r="AK5" s="94">
        <v>1</v>
      </c>
      <c r="AL5" s="94">
        <v>1</v>
      </c>
      <c r="AM5" s="94">
        <v>1</v>
      </c>
      <c r="AN5" s="94">
        <v>1</v>
      </c>
      <c r="AO5" s="94">
        <v>1</v>
      </c>
      <c r="AP5" s="94">
        <v>1</v>
      </c>
      <c r="AQ5" s="94">
        <v>1</v>
      </c>
      <c r="AR5" s="94">
        <v>1</v>
      </c>
      <c r="AS5" s="94">
        <v>1</v>
      </c>
      <c r="AT5" s="94">
        <v>1</v>
      </c>
      <c r="AU5" s="94">
        <v>1</v>
      </c>
      <c r="AV5" s="94">
        <v>1</v>
      </c>
      <c r="AW5" s="94">
        <v>1</v>
      </c>
      <c r="AX5" s="94">
        <v>1</v>
      </c>
      <c r="AY5" s="94">
        <v>1</v>
      </c>
      <c r="AZ5" s="94">
        <v>1</v>
      </c>
      <c r="BA5" s="94">
        <v>1</v>
      </c>
      <c r="BB5" s="94">
        <v>1</v>
      </c>
      <c r="BC5" s="94">
        <v>1</v>
      </c>
      <c r="BD5" s="94">
        <v>1</v>
      </c>
      <c r="BE5" s="94">
        <v>1</v>
      </c>
      <c r="BF5" s="94">
        <v>1</v>
      </c>
      <c r="BG5" s="94">
        <v>1</v>
      </c>
      <c r="BH5" s="94">
        <v>1</v>
      </c>
      <c r="BI5" s="94">
        <v>1</v>
      </c>
      <c r="BJ5" s="94">
        <v>1</v>
      </c>
      <c r="BK5" s="94">
        <v>1</v>
      </c>
      <c r="BL5" s="94">
        <v>1</v>
      </c>
      <c r="BM5" s="94">
        <v>1</v>
      </c>
    </row>
    <row r="6" spans="1:73" s="21" customFormat="1" outlineLevel="1" x14ac:dyDescent="0.2">
      <c r="C6" s="21" t="s">
        <v>82</v>
      </c>
      <c r="D6" s="37" t="s">
        <v>7</v>
      </c>
      <c r="F6" s="22">
        <f>'Вводные данные'!$E$69</f>
        <v>0</v>
      </c>
      <c r="G6" s="22">
        <f>'Вводные данные'!$E$69</f>
        <v>0</v>
      </c>
      <c r="H6" s="22">
        <f>'Вводные данные'!$E$69</f>
        <v>0</v>
      </c>
      <c r="I6" s="22">
        <f>'Вводные данные'!$E$69</f>
        <v>0</v>
      </c>
      <c r="J6" s="22">
        <f>'Вводные данные'!$E$69</f>
        <v>0</v>
      </c>
      <c r="K6" s="22">
        <f>'Вводные данные'!$E$69</f>
        <v>0</v>
      </c>
      <c r="L6" s="22">
        <f>'Вводные данные'!$E$69</f>
        <v>0</v>
      </c>
      <c r="M6" s="22">
        <f>'Вводные данные'!$E$69</f>
        <v>0</v>
      </c>
      <c r="N6" s="22">
        <f>'Вводные данные'!$E$69</f>
        <v>0</v>
      </c>
      <c r="O6" s="22">
        <f>'Вводные данные'!$E$69</f>
        <v>0</v>
      </c>
      <c r="P6" s="22">
        <f>'Вводные данные'!$E$69</f>
        <v>0</v>
      </c>
      <c r="Q6" s="99">
        <f>'Вводные данные'!$E$69</f>
        <v>0</v>
      </c>
      <c r="R6" s="22">
        <f>'Вводные данные'!$F$69</f>
        <v>7.0000000000000007E-2</v>
      </c>
      <c r="S6" s="22">
        <f>'Вводные данные'!$F$69</f>
        <v>7.0000000000000007E-2</v>
      </c>
      <c r="T6" s="22">
        <f>'Вводные данные'!$F$69</f>
        <v>7.0000000000000007E-2</v>
      </c>
      <c r="U6" s="22">
        <f>'Вводные данные'!$F$69</f>
        <v>7.0000000000000007E-2</v>
      </c>
      <c r="V6" s="22">
        <f>'Вводные данные'!$F$69</f>
        <v>7.0000000000000007E-2</v>
      </c>
      <c r="W6" s="22">
        <f>'Вводные данные'!$F$69</f>
        <v>7.0000000000000007E-2</v>
      </c>
      <c r="X6" s="22">
        <f>'Вводные данные'!$F$69</f>
        <v>7.0000000000000007E-2</v>
      </c>
      <c r="Y6" s="22">
        <f>'Вводные данные'!$F$69</f>
        <v>7.0000000000000007E-2</v>
      </c>
      <c r="Z6" s="22">
        <f>'Вводные данные'!$F$69</f>
        <v>7.0000000000000007E-2</v>
      </c>
      <c r="AA6" s="22">
        <f>'Вводные данные'!$F$69</f>
        <v>7.0000000000000007E-2</v>
      </c>
      <c r="AB6" s="22">
        <f>'Вводные данные'!$F$69</f>
        <v>7.0000000000000007E-2</v>
      </c>
      <c r="AC6" s="99">
        <f>'Вводные данные'!$F$69</f>
        <v>7.0000000000000007E-2</v>
      </c>
      <c r="AD6" s="22">
        <f>'Вводные данные'!$G$69</f>
        <v>7.0000000000000007E-2</v>
      </c>
      <c r="AE6" s="22">
        <f>'Вводные данные'!$G$69</f>
        <v>7.0000000000000007E-2</v>
      </c>
      <c r="AF6" s="22">
        <f>'Вводные данные'!$G$69</f>
        <v>7.0000000000000007E-2</v>
      </c>
      <c r="AG6" s="22">
        <f>'Вводные данные'!$G$69</f>
        <v>7.0000000000000007E-2</v>
      </c>
      <c r="AH6" s="22">
        <f>'Вводные данные'!$G$69</f>
        <v>7.0000000000000007E-2</v>
      </c>
      <c r="AI6" s="22">
        <f>'Вводные данные'!$G$69</f>
        <v>7.0000000000000007E-2</v>
      </c>
      <c r="AJ6" s="22">
        <f>'Вводные данные'!$G$69</f>
        <v>7.0000000000000007E-2</v>
      </c>
      <c r="AK6" s="22">
        <f>'Вводные данные'!$G$69</f>
        <v>7.0000000000000007E-2</v>
      </c>
      <c r="AL6" s="22">
        <f>'Вводные данные'!$G$69</f>
        <v>7.0000000000000007E-2</v>
      </c>
      <c r="AM6" s="22">
        <f>'Вводные данные'!$G$69</f>
        <v>7.0000000000000007E-2</v>
      </c>
      <c r="AN6" s="22">
        <f>'Вводные данные'!$G$69</f>
        <v>7.0000000000000007E-2</v>
      </c>
      <c r="AO6" s="99">
        <f>'Вводные данные'!$G$69</f>
        <v>7.0000000000000007E-2</v>
      </c>
      <c r="AP6" s="22">
        <f>'Вводные данные'!$H$69</f>
        <v>7.0000000000000007E-2</v>
      </c>
      <c r="AQ6" s="22">
        <f>'Вводные данные'!$H$69</f>
        <v>7.0000000000000007E-2</v>
      </c>
      <c r="AR6" s="22">
        <f>'Вводные данные'!$H$69</f>
        <v>7.0000000000000007E-2</v>
      </c>
      <c r="AS6" s="22">
        <f>'Вводные данные'!$H$69</f>
        <v>7.0000000000000007E-2</v>
      </c>
      <c r="AT6" s="22">
        <f>'Вводные данные'!$H$69</f>
        <v>7.0000000000000007E-2</v>
      </c>
      <c r="AU6" s="22">
        <f>'Вводные данные'!$H$69</f>
        <v>7.0000000000000007E-2</v>
      </c>
      <c r="AV6" s="22">
        <f>'Вводные данные'!$H$69</f>
        <v>7.0000000000000007E-2</v>
      </c>
      <c r="AW6" s="22">
        <f>'Вводные данные'!$H$69</f>
        <v>7.0000000000000007E-2</v>
      </c>
      <c r="AX6" s="22">
        <f>'Вводные данные'!$H$69</f>
        <v>7.0000000000000007E-2</v>
      </c>
      <c r="AY6" s="22">
        <f>'Вводные данные'!$H$69</f>
        <v>7.0000000000000007E-2</v>
      </c>
      <c r="AZ6" s="22">
        <f>'Вводные данные'!$H$69</f>
        <v>7.0000000000000007E-2</v>
      </c>
      <c r="BA6" s="99">
        <f>'Вводные данные'!$H$69</f>
        <v>7.0000000000000007E-2</v>
      </c>
      <c r="BB6" s="22">
        <f>'Вводные данные'!$I$69</f>
        <v>7.0000000000000007E-2</v>
      </c>
      <c r="BC6" s="22">
        <f>'Вводные данные'!$I$69</f>
        <v>7.0000000000000007E-2</v>
      </c>
      <c r="BD6" s="22">
        <f>'Вводные данные'!$I$69</f>
        <v>7.0000000000000007E-2</v>
      </c>
      <c r="BE6" s="22">
        <f>'Вводные данные'!$I$69</f>
        <v>7.0000000000000007E-2</v>
      </c>
      <c r="BF6" s="22">
        <f>'Вводные данные'!$I$69</f>
        <v>7.0000000000000007E-2</v>
      </c>
      <c r="BG6" s="22">
        <f>'Вводные данные'!$I$69</f>
        <v>7.0000000000000007E-2</v>
      </c>
      <c r="BH6" s="22">
        <f>'Вводные данные'!$I$69</f>
        <v>7.0000000000000007E-2</v>
      </c>
      <c r="BI6" s="22">
        <f>'Вводные данные'!$I$69</f>
        <v>7.0000000000000007E-2</v>
      </c>
      <c r="BJ6" s="22">
        <f>'Вводные данные'!$I$69</f>
        <v>7.0000000000000007E-2</v>
      </c>
      <c r="BK6" s="22">
        <f>'Вводные данные'!$I$69</f>
        <v>7.0000000000000007E-2</v>
      </c>
      <c r="BL6" s="22">
        <f>'Вводные данные'!$I$69</f>
        <v>7.0000000000000007E-2</v>
      </c>
      <c r="BM6" s="22">
        <f>'Вводные данные'!$I$69</f>
        <v>7.0000000000000007E-2</v>
      </c>
      <c r="BO6" s="22"/>
      <c r="BP6" s="96"/>
      <c r="BQ6" s="96"/>
      <c r="BR6" s="96"/>
      <c r="BS6" s="96"/>
      <c r="BT6" s="96"/>
      <c r="BU6" s="96"/>
    </row>
    <row r="7" spans="1:73" s="21" customFormat="1" outlineLevel="1" x14ac:dyDescent="0.2">
      <c r="C7" s="21" t="s">
        <v>83</v>
      </c>
      <c r="D7" s="37" t="s">
        <v>7</v>
      </c>
      <c r="F7" s="22">
        <f>F6/12</f>
        <v>0</v>
      </c>
      <c r="G7" s="22">
        <f t="shared" ref="G7:BM7" si="0">G6/12</f>
        <v>0</v>
      </c>
      <c r="H7" s="22">
        <f t="shared" si="0"/>
        <v>0</v>
      </c>
      <c r="I7" s="22">
        <f t="shared" si="0"/>
        <v>0</v>
      </c>
      <c r="J7" s="22">
        <f t="shared" si="0"/>
        <v>0</v>
      </c>
      <c r="K7" s="22">
        <f t="shared" si="0"/>
        <v>0</v>
      </c>
      <c r="L7" s="22">
        <f t="shared" si="0"/>
        <v>0</v>
      </c>
      <c r="M7" s="22">
        <f t="shared" si="0"/>
        <v>0</v>
      </c>
      <c r="N7" s="22">
        <f t="shared" si="0"/>
        <v>0</v>
      </c>
      <c r="O7" s="22">
        <f t="shared" si="0"/>
        <v>0</v>
      </c>
      <c r="P7" s="22">
        <f t="shared" si="0"/>
        <v>0</v>
      </c>
      <c r="Q7" s="99">
        <f t="shared" si="0"/>
        <v>0</v>
      </c>
      <c r="R7" s="22">
        <f t="shared" si="0"/>
        <v>5.8333333333333336E-3</v>
      </c>
      <c r="S7" s="22">
        <f t="shared" si="0"/>
        <v>5.8333333333333336E-3</v>
      </c>
      <c r="T7" s="22">
        <f t="shared" si="0"/>
        <v>5.8333333333333336E-3</v>
      </c>
      <c r="U7" s="22">
        <f t="shared" si="0"/>
        <v>5.8333333333333336E-3</v>
      </c>
      <c r="V7" s="22">
        <f t="shared" si="0"/>
        <v>5.8333333333333336E-3</v>
      </c>
      <c r="W7" s="22">
        <f t="shared" si="0"/>
        <v>5.8333333333333336E-3</v>
      </c>
      <c r="X7" s="22">
        <f t="shared" si="0"/>
        <v>5.8333333333333336E-3</v>
      </c>
      <c r="Y7" s="22">
        <f t="shared" si="0"/>
        <v>5.8333333333333336E-3</v>
      </c>
      <c r="Z7" s="22">
        <f t="shared" si="0"/>
        <v>5.8333333333333336E-3</v>
      </c>
      <c r="AA7" s="22">
        <f t="shared" si="0"/>
        <v>5.8333333333333336E-3</v>
      </c>
      <c r="AB7" s="22">
        <f t="shared" si="0"/>
        <v>5.8333333333333336E-3</v>
      </c>
      <c r="AC7" s="99">
        <f t="shared" si="0"/>
        <v>5.8333333333333336E-3</v>
      </c>
      <c r="AD7" s="22">
        <f t="shared" si="0"/>
        <v>5.8333333333333336E-3</v>
      </c>
      <c r="AE7" s="22">
        <f t="shared" si="0"/>
        <v>5.8333333333333336E-3</v>
      </c>
      <c r="AF7" s="22">
        <f t="shared" si="0"/>
        <v>5.8333333333333336E-3</v>
      </c>
      <c r="AG7" s="22">
        <f t="shared" si="0"/>
        <v>5.8333333333333336E-3</v>
      </c>
      <c r="AH7" s="22">
        <f t="shared" si="0"/>
        <v>5.8333333333333336E-3</v>
      </c>
      <c r="AI7" s="22">
        <f t="shared" si="0"/>
        <v>5.8333333333333336E-3</v>
      </c>
      <c r="AJ7" s="22">
        <f t="shared" si="0"/>
        <v>5.8333333333333336E-3</v>
      </c>
      <c r="AK7" s="22">
        <f t="shared" si="0"/>
        <v>5.8333333333333336E-3</v>
      </c>
      <c r="AL7" s="22">
        <f t="shared" si="0"/>
        <v>5.8333333333333336E-3</v>
      </c>
      <c r="AM7" s="22">
        <f t="shared" si="0"/>
        <v>5.8333333333333336E-3</v>
      </c>
      <c r="AN7" s="22">
        <f t="shared" si="0"/>
        <v>5.8333333333333336E-3</v>
      </c>
      <c r="AO7" s="99">
        <f t="shared" si="0"/>
        <v>5.8333333333333336E-3</v>
      </c>
      <c r="AP7" s="22">
        <f t="shared" si="0"/>
        <v>5.8333333333333336E-3</v>
      </c>
      <c r="AQ7" s="22">
        <f t="shared" si="0"/>
        <v>5.8333333333333336E-3</v>
      </c>
      <c r="AR7" s="22">
        <f t="shared" si="0"/>
        <v>5.8333333333333336E-3</v>
      </c>
      <c r="AS7" s="22">
        <f t="shared" si="0"/>
        <v>5.8333333333333336E-3</v>
      </c>
      <c r="AT7" s="22">
        <f t="shared" si="0"/>
        <v>5.8333333333333336E-3</v>
      </c>
      <c r="AU7" s="22">
        <f t="shared" si="0"/>
        <v>5.8333333333333336E-3</v>
      </c>
      <c r="AV7" s="22">
        <f t="shared" si="0"/>
        <v>5.8333333333333336E-3</v>
      </c>
      <c r="AW7" s="22">
        <f t="shared" si="0"/>
        <v>5.8333333333333336E-3</v>
      </c>
      <c r="AX7" s="22">
        <f t="shared" si="0"/>
        <v>5.8333333333333336E-3</v>
      </c>
      <c r="AY7" s="22">
        <f t="shared" si="0"/>
        <v>5.8333333333333336E-3</v>
      </c>
      <c r="AZ7" s="22">
        <f t="shared" si="0"/>
        <v>5.8333333333333336E-3</v>
      </c>
      <c r="BA7" s="99">
        <f t="shared" si="0"/>
        <v>5.8333333333333336E-3</v>
      </c>
      <c r="BB7" s="22">
        <f t="shared" si="0"/>
        <v>5.8333333333333336E-3</v>
      </c>
      <c r="BC7" s="22">
        <f t="shared" si="0"/>
        <v>5.8333333333333336E-3</v>
      </c>
      <c r="BD7" s="22">
        <f t="shared" si="0"/>
        <v>5.8333333333333336E-3</v>
      </c>
      <c r="BE7" s="22">
        <f t="shared" si="0"/>
        <v>5.8333333333333336E-3</v>
      </c>
      <c r="BF7" s="22">
        <f t="shared" si="0"/>
        <v>5.8333333333333336E-3</v>
      </c>
      <c r="BG7" s="22">
        <f t="shared" si="0"/>
        <v>5.8333333333333336E-3</v>
      </c>
      <c r="BH7" s="22">
        <f t="shared" si="0"/>
        <v>5.8333333333333336E-3</v>
      </c>
      <c r="BI7" s="22">
        <f t="shared" si="0"/>
        <v>5.8333333333333336E-3</v>
      </c>
      <c r="BJ7" s="22">
        <f t="shared" si="0"/>
        <v>5.8333333333333336E-3</v>
      </c>
      <c r="BK7" s="22">
        <f t="shared" si="0"/>
        <v>5.8333333333333336E-3</v>
      </c>
      <c r="BL7" s="22">
        <f t="shared" si="0"/>
        <v>5.8333333333333336E-3</v>
      </c>
      <c r="BM7" s="22">
        <f t="shared" si="0"/>
        <v>5.8333333333333336E-3</v>
      </c>
      <c r="BO7" s="22"/>
      <c r="BP7" s="96"/>
      <c r="BQ7" s="96"/>
      <c r="BR7" s="96"/>
      <c r="BS7" s="96"/>
      <c r="BT7" s="96"/>
      <c r="BU7" s="96"/>
    </row>
    <row r="8" spans="1:73" s="21" customFormat="1" outlineLevel="1" x14ac:dyDescent="0.2">
      <c r="C8" s="21" t="s">
        <v>84</v>
      </c>
      <c r="D8" s="37" t="s">
        <v>7</v>
      </c>
      <c r="E8" s="28">
        <v>1</v>
      </c>
      <c r="F8" s="22">
        <f>E8*(1+F7)</f>
        <v>1</v>
      </c>
      <c r="G8" s="22">
        <f t="shared" ref="G8:BM8" si="1">F8*(1+G7)</f>
        <v>1</v>
      </c>
      <c r="H8" s="22">
        <f t="shared" si="1"/>
        <v>1</v>
      </c>
      <c r="I8" s="22">
        <f t="shared" si="1"/>
        <v>1</v>
      </c>
      <c r="J8" s="22">
        <f t="shared" si="1"/>
        <v>1</v>
      </c>
      <c r="K8" s="22">
        <f t="shared" si="1"/>
        <v>1</v>
      </c>
      <c r="L8" s="22">
        <f t="shared" si="1"/>
        <v>1</v>
      </c>
      <c r="M8" s="22">
        <f t="shared" si="1"/>
        <v>1</v>
      </c>
      <c r="N8" s="22">
        <f t="shared" si="1"/>
        <v>1</v>
      </c>
      <c r="O8" s="22">
        <f t="shared" si="1"/>
        <v>1</v>
      </c>
      <c r="P8" s="22">
        <f t="shared" si="1"/>
        <v>1</v>
      </c>
      <c r="Q8" s="99">
        <f t="shared" si="1"/>
        <v>1</v>
      </c>
      <c r="R8" s="22">
        <f t="shared" si="1"/>
        <v>1.0058333333333334</v>
      </c>
      <c r="S8" s="22">
        <f t="shared" si="1"/>
        <v>1.0117006944444444</v>
      </c>
      <c r="T8" s="22">
        <f t="shared" si="1"/>
        <v>1.0176022818287038</v>
      </c>
      <c r="U8" s="22">
        <f t="shared" si="1"/>
        <v>1.0235382951393712</v>
      </c>
      <c r="V8" s="22">
        <f t="shared" si="1"/>
        <v>1.0295089351943509</v>
      </c>
      <c r="W8" s="22">
        <f t="shared" si="1"/>
        <v>1.0355144039829847</v>
      </c>
      <c r="X8" s="22">
        <f t="shared" si="1"/>
        <v>1.0415549046728854</v>
      </c>
      <c r="Y8" s="22">
        <f t="shared" si="1"/>
        <v>1.0476306416168106</v>
      </c>
      <c r="Z8" s="22">
        <f t="shared" si="1"/>
        <v>1.0537418203595754</v>
      </c>
      <c r="AA8" s="22">
        <f t="shared" si="1"/>
        <v>1.0598886476450062</v>
      </c>
      <c r="AB8" s="22">
        <f t="shared" si="1"/>
        <v>1.0660713314229355</v>
      </c>
      <c r="AC8" s="99">
        <f t="shared" si="1"/>
        <v>1.0722900808562361</v>
      </c>
      <c r="AD8" s="22">
        <f t="shared" si="1"/>
        <v>1.0785451063278975</v>
      </c>
      <c r="AE8" s="22">
        <f t="shared" si="1"/>
        <v>1.0848366194481436</v>
      </c>
      <c r="AF8" s="22">
        <f t="shared" si="1"/>
        <v>1.0911648330615911</v>
      </c>
      <c r="AG8" s="22">
        <f t="shared" si="1"/>
        <v>1.0975299612544505</v>
      </c>
      <c r="AH8" s="22">
        <f t="shared" si="1"/>
        <v>1.1039322193617682</v>
      </c>
      <c r="AI8" s="22">
        <f t="shared" si="1"/>
        <v>1.1103718239747118</v>
      </c>
      <c r="AJ8" s="22">
        <f t="shared" si="1"/>
        <v>1.1168489929478977</v>
      </c>
      <c r="AK8" s="22">
        <f t="shared" si="1"/>
        <v>1.1233639454067605</v>
      </c>
      <c r="AL8" s="22">
        <f t="shared" si="1"/>
        <v>1.1299169017549666</v>
      </c>
      <c r="AM8" s="22">
        <f t="shared" si="1"/>
        <v>1.1365080836818706</v>
      </c>
      <c r="AN8" s="22">
        <f t="shared" si="1"/>
        <v>1.143137714170015</v>
      </c>
      <c r="AO8" s="99">
        <f t="shared" si="1"/>
        <v>1.1498060175026734</v>
      </c>
      <c r="AP8" s="22">
        <f t="shared" si="1"/>
        <v>1.1565132192714391</v>
      </c>
      <c r="AQ8" s="22">
        <f t="shared" si="1"/>
        <v>1.163259546383856</v>
      </c>
      <c r="AR8" s="22">
        <f t="shared" si="1"/>
        <v>1.1700452270710953</v>
      </c>
      <c r="AS8" s="22">
        <f t="shared" si="1"/>
        <v>1.1768704908956766</v>
      </c>
      <c r="AT8" s="22">
        <f t="shared" si="1"/>
        <v>1.1837355687592348</v>
      </c>
      <c r="AU8" s="22">
        <f t="shared" si="1"/>
        <v>1.1906406929103304</v>
      </c>
      <c r="AV8" s="22">
        <f t="shared" si="1"/>
        <v>1.1975860969523073</v>
      </c>
      <c r="AW8" s="22">
        <f t="shared" si="1"/>
        <v>1.2045720158511959</v>
      </c>
      <c r="AX8" s="22">
        <f t="shared" si="1"/>
        <v>1.2115986859436612</v>
      </c>
      <c r="AY8" s="22">
        <f t="shared" si="1"/>
        <v>1.2186663449449993</v>
      </c>
      <c r="AZ8" s="22">
        <f t="shared" si="1"/>
        <v>1.2257752319571784</v>
      </c>
      <c r="BA8" s="99">
        <f t="shared" si="1"/>
        <v>1.2329255874769287</v>
      </c>
      <c r="BB8" s="22">
        <f t="shared" si="1"/>
        <v>1.2401176534038776</v>
      </c>
      <c r="BC8" s="22">
        <f t="shared" si="1"/>
        <v>1.2473516730487335</v>
      </c>
      <c r="BD8" s="22">
        <f t="shared" si="1"/>
        <v>1.2546278911415178</v>
      </c>
      <c r="BE8" s="22">
        <f t="shared" si="1"/>
        <v>1.2619465538398433</v>
      </c>
      <c r="BF8" s="22">
        <f t="shared" si="1"/>
        <v>1.2693079087372425</v>
      </c>
      <c r="BG8" s="22">
        <f t="shared" si="1"/>
        <v>1.2767122048715431</v>
      </c>
      <c r="BH8" s="22">
        <f t="shared" si="1"/>
        <v>1.2841596927332939</v>
      </c>
      <c r="BI8" s="22">
        <f t="shared" si="1"/>
        <v>1.291650624274238</v>
      </c>
      <c r="BJ8" s="22">
        <f t="shared" si="1"/>
        <v>1.2991852529158379</v>
      </c>
      <c r="BK8" s="22">
        <f t="shared" si="1"/>
        <v>1.3067638335578469</v>
      </c>
      <c r="BL8" s="22">
        <f t="shared" si="1"/>
        <v>1.3143866225869343</v>
      </c>
      <c r="BM8" s="22">
        <f t="shared" si="1"/>
        <v>1.3220538778853581</v>
      </c>
      <c r="BO8" s="22"/>
      <c r="BP8" s="96"/>
      <c r="BQ8" s="96"/>
      <c r="BR8" s="96"/>
      <c r="BS8" s="96"/>
      <c r="BT8" s="96"/>
      <c r="BU8" s="96"/>
    </row>
    <row r="9" spans="1:73" s="19" customFormat="1" outlineLevel="1" x14ac:dyDescent="0.2">
      <c r="C9" s="23" t="s">
        <v>86</v>
      </c>
      <c r="D9" s="20" t="s">
        <v>87</v>
      </c>
      <c r="E9" s="20"/>
      <c r="F9" s="19">
        <f>24*30</f>
        <v>720</v>
      </c>
      <c r="G9" s="19">
        <f t="shared" ref="G9:BM9" si="2">24*30</f>
        <v>720</v>
      </c>
      <c r="H9" s="19">
        <f t="shared" si="2"/>
        <v>720</v>
      </c>
      <c r="I9" s="19">
        <f t="shared" si="2"/>
        <v>720</v>
      </c>
      <c r="J9" s="19">
        <f t="shared" si="2"/>
        <v>720</v>
      </c>
      <c r="K9" s="19">
        <f t="shared" si="2"/>
        <v>720</v>
      </c>
      <c r="L9" s="19">
        <f t="shared" si="2"/>
        <v>720</v>
      </c>
      <c r="M9" s="19">
        <f t="shared" si="2"/>
        <v>720</v>
      </c>
      <c r="N9" s="19">
        <f t="shared" si="2"/>
        <v>720</v>
      </c>
      <c r="O9" s="19">
        <f t="shared" si="2"/>
        <v>720</v>
      </c>
      <c r="P9" s="19">
        <f t="shared" si="2"/>
        <v>720</v>
      </c>
      <c r="Q9" s="19">
        <f t="shared" si="2"/>
        <v>720</v>
      </c>
      <c r="R9" s="19">
        <f t="shared" si="2"/>
        <v>720</v>
      </c>
      <c r="S9" s="19">
        <f t="shared" si="2"/>
        <v>720</v>
      </c>
      <c r="T9" s="19">
        <f t="shared" si="2"/>
        <v>720</v>
      </c>
      <c r="U9" s="19">
        <f t="shared" si="2"/>
        <v>720</v>
      </c>
      <c r="V9" s="19">
        <f t="shared" si="2"/>
        <v>720</v>
      </c>
      <c r="W9" s="19">
        <f t="shared" si="2"/>
        <v>720</v>
      </c>
      <c r="X9" s="19">
        <f t="shared" si="2"/>
        <v>720</v>
      </c>
      <c r="Y9" s="19">
        <f t="shared" si="2"/>
        <v>720</v>
      </c>
      <c r="Z9" s="19">
        <f t="shared" si="2"/>
        <v>720</v>
      </c>
      <c r="AA9" s="19">
        <f t="shared" si="2"/>
        <v>720</v>
      </c>
      <c r="AB9" s="19">
        <f t="shared" si="2"/>
        <v>720</v>
      </c>
      <c r="AC9" s="19">
        <f t="shared" si="2"/>
        <v>720</v>
      </c>
      <c r="AD9" s="19">
        <f t="shared" si="2"/>
        <v>720</v>
      </c>
      <c r="AE9" s="19">
        <f t="shared" si="2"/>
        <v>720</v>
      </c>
      <c r="AF9" s="19">
        <f t="shared" si="2"/>
        <v>720</v>
      </c>
      <c r="AG9" s="19">
        <f t="shared" si="2"/>
        <v>720</v>
      </c>
      <c r="AH9" s="19">
        <f t="shared" si="2"/>
        <v>720</v>
      </c>
      <c r="AI9" s="19">
        <f t="shared" si="2"/>
        <v>720</v>
      </c>
      <c r="AJ9" s="19">
        <f t="shared" si="2"/>
        <v>720</v>
      </c>
      <c r="AK9" s="19">
        <f t="shared" si="2"/>
        <v>720</v>
      </c>
      <c r="AL9" s="19">
        <f t="shared" si="2"/>
        <v>720</v>
      </c>
      <c r="AM9" s="19">
        <f t="shared" si="2"/>
        <v>720</v>
      </c>
      <c r="AN9" s="19">
        <f t="shared" si="2"/>
        <v>720</v>
      </c>
      <c r="AO9" s="19">
        <f t="shared" si="2"/>
        <v>720</v>
      </c>
      <c r="AP9" s="19">
        <f t="shared" si="2"/>
        <v>720</v>
      </c>
      <c r="AQ9" s="19">
        <f t="shared" si="2"/>
        <v>720</v>
      </c>
      <c r="AR9" s="19">
        <f t="shared" si="2"/>
        <v>720</v>
      </c>
      <c r="AS9" s="19">
        <f t="shared" si="2"/>
        <v>720</v>
      </c>
      <c r="AT9" s="19">
        <f t="shared" si="2"/>
        <v>720</v>
      </c>
      <c r="AU9" s="19">
        <f t="shared" si="2"/>
        <v>720</v>
      </c>
      <c r="AV9" s="19">
        <f t="shared" si="2"/>
        <v>720</v>
      </c>
      <c r="AW9" s="19">
        <f t="shared" si="2"/>
        <v>720</v>
      </c>
      <c r="AX9" s="19">
        <f t="shared" si="2"/>
        <v>720</v>
      </c>
      <c r="AY9" s="19">
        <f t="shared" si="2"/>
        <v>720</v>
      </c>
      <c r="AZ9" s="19">
        <f t="shared" si="2"/>
        <v>720</v>
      </c>
      <c r="BA9" s="19">
        <f t="shared" si="2"/>
        <v>720</v>
      </c>
      <c r="BB9" s="19">
        <f t="shared" si="2"/>
        <v>720</v>
      </c>
      <c r="BC9" s="19">
        <f t="shared" si="2"/>
        <v>720</v>
      </c>
      <c r="BD9" s="19">
        <f t="shared" si="2"/>
        <v>720</v>
      </c>
      <c r="BE9" s="19">
        <f t="shared" si="2"/>
        <v>720</v>
      </c>
      <c r="BF9" s="19">
        <f t="shared" si="2"/>
        <v>720</v>
      </c>
      <c r="BG9" s="19">
        <f t="shared" si="2"/>
        <v>720</v>
      </c>
      <c r="BH9" s="19">
        <f t="shared" si="2"/>
        <v>720</v>
      </c>
      <c r="BI9" s="19">
        <f t="shared" si="2"/>
        <v>720</v>
      </c>
      <c r="BJ9" s="19">
        <f t="shared" si="2"/>
        <v>720</v>
      </c>
      <c r="BK9" s="19">
        <f t="shared" si="2"/>
        <v>720</v>
      </c>
      <c r="BL9" s="19">
        <f t="shared" si="2"/>
        <v>720</v>
      </c>
      <c r="BM9" s="19">
        <f t="shared" si="2"/>
        <v>720</v>
      </c>
      <c r="BP9" s="96"/>
      <c r="BQ9" s="96"/>
      <c r="BR9" s="96"/>
      <c r="BS9" s="96"/>
      <c r="BT9" s="96"/>
      <c r="BU9" s="96"/>
    </row>
    <row r="10" spans="1:73" s="100" customFormat="1" x14ac:dyDescent="0.2">
      <c r="C10" s="101" t="s">
        <v>266</v>
      </c>
      <c r="D10" s="102"/>
      <c r="E10" s="102"/>
      <c r="F10" s="103">
        <v>1</v>
      </c>
      <c r="G10" s="103">
        <v>2</v>
      </c>
      <c r="H10" s="103">
        <v>3</v>
      </c>
      <c r="I10" s="103">
        <v>4</v>
      </c>
      <c r="J10" s="103">
        <v>5</v>
      </c>
      <c r="K10" s="103">
        <v>6</v>
      </c>
      <c r="L10" s="103">
        <v>7</v>
      </c>
      <c r="M10" s="103">
        <v>8</v>
      </c>
      <c r="N10" s="103">
        <v>9</v>
      </c>
      <c r="O10" s="103">
        <v>10</v>
      </c>
      <c r="P10" s="103">
        <v>11</v>
      </c>
      <c r="Q10" s="104">
        <v>12</v>
      </c>
      <c r="R10" s="103">
        <v>13</v>
      </c>
      <c r="S10" s="103">
        <v>14</v>
      </c>
      <c r="T10" s="103">
        <v>15</v>
      </c>
      <c r="U10" s="103">
        <v>16</v>
      </c>
      <c r="V10" s="103">
        <v>17</v>
      </c>
      <c r="W10" s="103">
        <v>18</v>
      </c>
      <c r="X10" s="103">
        <v>19</v>
      </c>
      <c r="Y10" s="103">
        <v>20</v>
      </c>
      <c r="Z10" s="103">
        <v>21</v>
      </c>
      <c r="AA10" s="103">
        <v>22</v>
      </c>
      <c r="AB10" s="103">
        <v>23</v>
      </c>
      <c r="AC10" s="104">
        <v>24</v>
      </c>
      <c r="AD10" s="103">
        <v>25</v>
      </c>
      <c r="AE10" s="103">
        <v>26</v>
      </c>
      <c r="AF10" s="103">
        <v>27</v>
      </c>
      <c r="AG10" s="103">
        <v>28</v>
      </c>
      <c r="AH10" s="103">
        <v>29</v>
      </c>
      <c r="AI10" s="103">
        <v>30</v>
      </c>
      <c r="AJ10" s="103">
        <v>31</v>
      </c>
      <c r="AK10" s="103">
        <v>32</v>
      </c>
      <c r="AL10" s="103">
        <v>33</v>
      </c>
      <c r="AM10" s="103">
        <v>34</v>
      </c>
      <c r="AN10" s="103">
        <v>35</v>
      </c>
      <c r="AO10" s="104">
        <v>36</v>
      </c>
      <c r="AP10" s="103">
        <v>37</v>
      </c>
      <c r="AQ10" s="103">
        <v>38</v>
      </c>
      <c r="AR10" s="103">
        <v>39</v>
      </c>
      <c r="AS10" s="103">
        <v>40</v>
      </c>
      <c r="AT10" s="103">
        <v>41</v>
      </c>
      <c r="AU10" s="103">
        <v>42</v>
      </c>
      <c r="AV10" s="103">
        <v>43</v>
      </c>
      <c r="AW10" s="103">
        <v>44</v>
      </c>
      <c r="AX10" s="103">
        <v>45</v>
      </c>
      <c r="AY10" s="103">
        <v>46</v>
      </c>
      <c r="AZ10" s="103">
        <v>47</v>
      </c>
      <c r="BA10" s="104">
        <v>48</v>
      </c>
      <c r="BB10" s="103">
        <v>49</v>
      </c>
      <c r="BC10" s="103">
        <v>50</v>
      </c>
      <c r="BD10" s="103">
        <v>51</v>
      </c>
      <c r="BE10" s="103">
        <v>52</v>
      </c>
      <c r="BF10" s="103">
        <v>53</v>
      </c>
      <c r="BG10" s="103">
        <v>54</v>
      </c>
      <c r="BH10" s="103">
        <v>55</v>
      </c>
      <c r="BI10" s="103">
        <v>56</v>
      </c>
      <c r="BJ10" s="103">
        <v>57</v>
      </c>
      <c r="BK10" s="103">
        <v>58</v>
      </c>
      <c r="BL10" s="103">
        <v>59</v>
      </c>
      <c r="BM10" s="103">
        <v>60</v>
      </c>
      <c r="BN10" s="105"/>
      <c r="BO10" s="103"/>
    </row>
    <row r="11" spans="1:73" s="201" customFormat="1" ht="15.75" thickBot="1" x14ac:dyDescent="0.25">
      <c r="A11" s="219"/>
      <c r="B11" s="219"/>
      <c r="C11" s="8" t="s">
        <v>143</v>
      </c>
      <c r="D11" s="9" t="s">
        <v>23</v>
      </c>
      <c r="E11" s="9"/>
      <c r="F11" s="10"/>
      <c r="G11" s="219"/>
      <c r="H11" s="219"/>
      <c r="I11" s="219"/>
      <c r="J11" s="219"/>
      <c r="K11" s="219"/>
      <c r="L11" s="219"/>
      <c r="M11" s="219"/>
      <c r="N11" s="219"/>
      <c r="O11" s="219"/>
      <c r="P11" s="219"/>
      <c r="Q11" s="219"/>
      <c r="R11" s="219"/>
      <c r="S11" s="219"/>
      <c r="T11" s="219"/>
      <c r="U11" s="219"/>
      <c r="V11" s="219"/>
      <c r="W11" s="219"/>
      <c r="X11" s="219"/>
      <c r="Y11" s="219"/>
      <c r="Z11" s="219"/>
      <c r="AA11" s="219"/>
      <c r="AB11" s="219"/>
      <c r="AC11" s="219"/>
      <c r="AD11" s="219"/>
      <c r="AE11" s="219"/>
      <c r="AF11" s="219"/>
      <c r="AG11" s="219"/>
      <c r="AH11" s="219"/>
      <c r="AI11" s="219"/>
      <c r="AJ11" s="219"/>
      <c r="AK11" s="219"/>
      <c r="AL11" s="219"/>
      <c r="AM11" s="219"/>
      <c r="AN11" s="219"/>
      <c r="AO11" s="219"/>
      <c r="AP11" s="219"/>
      <c r="AQ11" s="219"/>
      <c r="AR11" s="219"/>
      <c r="AS11" s="219"/>
      <c r="AT11" s="219"/>
      <c r="AU11" s="219"/>
      <c r="AV11" s="219"/>
      <c r="AW11" s="219"/>
      <c r="AX11" s="219"/>
      <c r="AY11" s="219"/>
      <c r="AZ11" s="219"/>
      <c r="BA11" s="219"/>
      <c r="BB11" s="219"/>
      <c r="BC11" s="219"/>
      <c r="BD11" s="219"/>
      <c r="BE11" s="219"/>
      <c r="BF11" s="219"/>
      <c r="BG11" s="219"/>
      <c r="BH11" s="219"/>
      <c r="BI11" s="219"/>
      <c r="BJ11" s="219"/>
      <c r="BK11" s="219"/>
      <c r="BL11" s="219"/>
      <c r="BM11" s="219"/>
      <c r="BN11" s="219"/>
      <c r="BO11" s="219"/>
      <c r="BP11" s="9" t="s">
        <v>49</v>
      </c>
      <c r="BQ11" s="9" t="s">
        <v>50</v>
      </c>
      <c r="BR11" s="9" t="s">
        <v>51</v>
      </c>
      <c r="BS11" s="9" t="s">
        <v>52</v>
      </c>
      <c r="BT11" s="9" t="s">
        <v>53</v>
      </c>
      <c r="BU11" s="9" t="s">
        <v>122</v>
      </c>
    </row>
    <row r="12" spans="1:73" s="1" customFormat="1" ht="15.75" thickTop="1" x14ac:dyDescent="0.2">
      <c r="A12" s="34"/>
      <c r="B12" s="34"/>
      <c r="C12" s="106" t="s">
        <v>68</v>
      </c>
      <c r="D12" s="35" t="s">
        <v>25</v>
      </c>
      <c r="E12" s="35"/>
      <c r="F12" s="13">
        <f>IF('Вводные данные'!$E$66="нет",F13*F17*(F15*F19),F13*F17*((F16*F19)))</f>
        <v>324000</v>
      </c>
      <c r="G12" s="13">
        <f>IF('Вводные данные'!$E$66="нет",G13*G17*(G15*G19),G13*G17*((G16*G19)))</f>
        <v>388800</v>
      </c>
      <c r="H12" s="13">
        <f>IF('Вводные данные'!$E$66="нет",H13*H17*(H15*H19),H13*H17*((H16*H19)))</f>
        <v>453599.99999999994</v>
      </c>
      <c r="I12" s="13">
        <f>IF('Вводные данные'!$E$66="нет",I13*I17*(I15*I19),I13*I17*((I16*I19)))</f>
        <v>453599.99999999994</v>
      </c>
      <c r="J12" s="13">
        <f>IF('Вводные данные'!$E$66="нет",J13*J17*(J15*J19),J13*J17*((J16*J19)))</f>
        <v>453599.99999999994</v>
      </c>
      <c r="K12" s="13">
        <f>IF('Вводные данные'!$E$66="нет",K13*K17*(K15*K19),K13*K17*((K16*K19)))</f>
        <v>453599.99999999994</v>
      </c>
      <c r="L12" s="13">
        <f>IF('Вводные данные'!$E$66="нет",L13*L17*(L15*L19),L13*L17*((L16*L19)))</f>
        <v>453599.99999999994</v>
      </c>
      <c r="M12" s="13">
        <f>IF('Вводные данные'!$E$66="нет",M13*M17*(M15*M19),M13*M17*((M16*M19)))</f>
        <v>453599.99999999994</v>
      </c>
      <c r="N12" s="13">
        <f>IF('Вводные данные'!$E$66="нет",N13*N17*(N15*N19),N13*N17*((N16*N19)))</f>
        <v>453599.99999999994</v>
      </c>
      <c r="O12" s="13">
        <f>IF('Вводные данные'!$E$66="нет",O13*O17*(O15*O19),O13*O17*((O16*O19)))</f>
        <v>453599.99999999994</v>
      </c>
      <c r="P12" s="13">
        <f>IF('Вводные данные'!$E$66="нет",P13*P17*(P15*P19),P13*P17*((P16*P19)))</f>
        <v>453599.99999999994</v>
      </c>
      <c r="Q12" s="13">
        <f>IF('Вводные данные'!$E$66="нет",Q13*Q17*(Q15*Q19),Q13*Q17*((Q16*Q19)))</f>
        <v>453599.99999999994</v>
      </c>
      <c r="R12" s="13">
        <f>IF('Вводные данные'!$E$66="нет",R13*R17*(R15*R19),R13*R17*((R16*R19)))</f>
        <v>547495.20000000007</v>
      </c>
      <c r="S12" s="13">
        <f>IF('Вводные данные'!$E$66="нет",S13*S17*(S15*S19),S13*S17*((S16*S19)))</f>
        <v>550688.92200000002</v>
      </c>
      <c r="T12" s="13">
        <f>IF('Вводные данные'!$E$66="нет",T13*T17*(T15*T19),T13*T17*((T16*T19)))</f>
        <v>553901.27404500009</v>
      </c>
      <c r="U12" s="13">
        <f>IF('Вводные данные'!$E$66="нет",U13*U17*(U15*U19),U13*U17*((U16*U19)))</f>
        <v>557132.36481026257</v>
      </c>
      <c r="V12" s="13">
        <f>IF('Вводные данные'!$E$66="нет",V13*V17*(V15*V19),V13*V17*((V16*V19)))</f>
        <v>560382.3036049892</v>
      </c>
      <c r="W12" s="13">
        <f>IF('Вводные данные'!$E$66="нет",W13*W17*(W15*W19),W13*W17*((W16*W19)))</f>
        <v>563651.20037601818</v>
      </c>
      <c r="X12" s="13">
        <f>IF('Вводные данные'!$E$66="нет",X13*X17*(X15*X19),X13*X17*((X16*X19)))</f>
        <v>566939.16571154504</v>
      </c>
      <c r="Y12" s="13">
        <f>IF('Вводные данные'!$E$66="нет",Y13*Y17*(Y15*Y19),Y13*Y17*((Y16*Y19)))</f>
        <v>570246.31084486237</v>
      </c>
      <c r="Z12" s="13">
        <f>IF('Вводные данные'!$E$66="нет",Z13*Z17*(Z15*Z19),Z13*Z17*((Z16*Z19)))</f>
        <v>573572.74765812408</v>
      </c>
      <c r="AA12" s="13">
        <f>IF('Вводные данные'!$E$66="нет",AA13*AA17*(AA15*AA19),AA13*AA17*((AA16*AA19)))</f>
        <v>576918.58868612978</v>
      </c>
      <c r="AB12" s="13">
        <f>IF('Вводные данные'!$E$66="нет",AB13*AB17*(AB15*AB19),AB13*AB17*((AB16*AB19)))</f>
        <v>580283.94712013227</v>
      </c>
      <c r="AC12" s="13">
        <f>IF('Вводные данные'!$E$66="нет",AC13*AC17*(AC15*AC19),AC13*AC17*((AC16*AC19)))</f>
        <v>583668.93681166659</v>
      </c>
      <c r="AD12" s="13">
        <f>IF('Вводные данные'!$E$66="нет",AD13*AD17*(AD15*AD19),AD13*AD17*((AD16*AD19)))</f>
        <v>587073.67227640119</v>
      </c>
      <c r="AE12" s="13">
        <f>IF('Вводные данные'!$E$66="нет",AE13*AE17*(AE15*AE19),AE13*AE17*((AE16*AE19)))</f>
        <v>590498.2686980135</v>
      </c>
      <c r="AF12" s="13">
        <f>IF('Вводные данные'!$E$66="нет",AF13*AF17*(AF15*AF19),AF13*AF17*((AF16*AF19)))</f>
        <v>593942.84193208534</v>
      </c>
      <c r="AG12" s="13">
        <f>IF('Вводные данные'!$E$66="нет",AG13*AG17*(AG15*AG19),AG13*AG17*((AG16*AG19)))</f>
        <v>597407.50851002242</v>
      </c>
      <c r="AH12" s="13">
        <f>IF('Вводные данные'!$E$66="нет",AH13*AH17*(AH15*AH19),AH13*AH17*((AH16*AH19)))</f>
        <v>600892.3856429978</v>
      </c>
      <c r="AI12" s="13">
        <f>IF('Вводные данные'!$E$66="нет",AI13*AI17*(AI15*AI19),AI13*AI17*((AI16*AI19)))</f>
        <v>604397.59122591512</v>
      </c>
      <c r="AJ12" s="13">
        <f>IF('Вводные данные'!$E$66="нет",AJ13*AJ17*(AJ15*AJ19),AJ13*AJ17*((AJ16*AJ19)))</f>
        <v>607923.24384139979</v>
      </c>
      <c r="AK12" s="13">
        <f>IF('Вводные данные'!$E$66="нет",AK13*AK17*(AK15*AK19),AK13*AK17*((AK16*AK19)))</f>
        <v>611469.46276380785</v>
      </c>
      <c r="AL12" s="13">
        <f>IF('Вводные данные'!$E$66="нет",AL13*AL17*(AL15*AL19),AL13*AL17*((AL16*AL19)))</f>
        <v>615036.36796326342</v>
      </c>
      <c r="AM12" s="13">
        <f>IF('Вводные данные'!$E$66="нет",AM13*AM17*(AM15*AM19),AM13*AM17*((AM16*AM19)))</f>
        <v>618624.08010971581</v>
      </c>
      <c r="AN12" s="13">
        <f>IF('Вводные данные'!$E$66="нет",AN13*AN17*(AN15*AN19),AN13*AN17*((AN16*AN19)))</f>
        <v>622232.72057702253</v>
      </c>
      <c r="AO12" s="13">
        <f>IF('Вводные данные'!$E$66="нет",AO13*AO17*(AO15*AO19),AO13*AO17*((AO16*AO19)))</f>
        <v>625862.41144705517</v>
      </c>
      <c r="AP12" s="13">
        <f>IF('Вводные данные'!$E$66="нет",AP13*AP17*(AP15*AP19),AP13*AP17*((AP16*AP19)))</f>
        <v>708202.43495305849</v>
      </c>
      <c r="AQ12" s="13">
        <f>IF('Вводные данные'!$E$66="нет",AQ13*AQ17*(AQ15*AQ19),AQ13*AQ17*((AQ16*AQ19)))</f>
        <v>712333.61582361802</v>
      </c>
      <c r="AR12" s="13">
        <f>IF('Вводные данные'!$E$66="нет",AR13*AR17*(AR15*AR19),AR13*AR17*((AR16*AR19)))</f>
        <v>716488.89524925582</v>
      </c>
      <c r="AS12" s="13">
        <f>IF('Вводные данные'!$E$66="нет",AS13*AS17*(AS15*AS19),AS13*AS17*((AS16*AS19)))</f>
        <v>720668.4138048765</v>
      </c>
      <c r="AT12" s="13">
        <f>IF('Вводные данные'!$E$66="нет",AT13*AT17*(AT15*AT19),AT13*AT17*((AT16*AT19)))</f>
        <v>724872.31288540503</v>
      </c>
      <c r="AU12" s="13">
        <f>IF('Вводные данные'!$E$66="нет",AU13*AU17*(AU15*AU19),AU13*AU17*((AU16*AU19)))</f>
        <v>729100.73471056984</v>
      </c>
      <c r="AV12" s="13">
        <f>IF('Вводные данные'!$E$66="нет",AV13*AV17*(AV15*AV19),AV13*AV17*((AV16*AV19)))</f>
        <v>733353.82232971489</v>
      </c>
      <c r="AW12" s="13">
        <f>IF('Вводные данные'!$E$66="нет",AW13*AW17*(AW15*AW19),AW13*AW17*((AW16*AW19)))</f>
        <v>737631.71962663846</v>
      </c>
      <c r="AX12" s="13">
        <f>IF('Вводные данные'!$E$66="нет",AX13*AX17*(AX15*AX19),AX13*AX17*((AX16*AX19)))</f>
        <v>741934.57132446044</v>
      </c>
      <c r="AY12" s="13">
        <f>IF('Вводные данные'!$E$66="нет",AY13*AY17*(AY15*AY19),AY13*AY17*((AY16*AY19)))</f>
        <v>746262.52299051976</v>
      </c>
      <c r="AZ12" s="13">
        <f>IF('Вводные данные'!$E$66="нет",AZ13*AZ17*(AZ15*AZ19),AZ13*AZ17*((AZ16*AZ19)))</f>
        <v>750615.72104129789</v>
      </c>
      <c r="BA12" s="13">
        <f>IF('Вводные данные'!$E$66="нет",BA13*BA17*(BA15*BA19),BA13*BA17*((BA16*BA19)))</f>
        <v>754994.3127473722</v>
      </c>
      <c r="BB12" s="13">
        <f>IF('Вводные данные'!$E$66="нет",BB13*BB17*(BB15*BB19),BB13*BB17*((BB16*BB19)))</f>
        <v>843776.05137599842</v>
      </c>
      <c r="BC12" s="13">
        <f>IF('Вводные данные'!$E$66="нет",BC13*BC17*(BC15*BC19),BC13*BC17*((BC16*BC19)))</f>
        <v>848698.07834235835</v>
      </c>
      <c r="BD12" s="13">
        <f>IF('Вводные данные'!$E$66="нет",BD13*BD17*(BD15*BD19),BD13*BD17*((BD16*BD19)))</f>
        <v>853648.81713268883</v>
      </c>
      <c r="BE12" s="13">
        <f>IF('Вводные данные'!$E$66="нет",BE13*BE17*(BE15*BE19),BE13*BE17*((BE16*BE19)))</f>
        <v>858628.43523262953</v>
      </c>
      <c r="BF12" s="13">
        <f>IF('Вводные данные'!$E$66="нет",BF13*BF17*(BF15*BF19),BF13*BF17*((BF16*BF19)))</f>
        <v>863637.1011048198</v>
      </c>
      <c r="BG12" s="13">
        <f>IF('Вводные данные'!$E$66="нет",BG13*BG17*(BG15*BG19),BG13*BG17*((BG16*BG19)))</f>
        <v>868674.98419459793</v>
      </c>
      <c r="BH12" s="13">
        <f>IF('Вводные данные'!$E$66="нет",BH13*BH17*(BH15*BH19),BH13*BH17*((BH16*BH19)))</f>
        <v>873742.25493573328</v>
      </c>
      <c r="BI12" s="13">
        <f>IF('Вводные данные'!$E$66="нет",BI13*BI17*(BI15*BI19),BI13*BI17*((BI16*BI19)))</f>
        <v>878839.0847561917</v>
      </c>
      <c r="BJ12" s="13">
        <f>IF('Вводные данные'!$E$66="нет",BJ13*BJ17*(BJ15*BJ19),BJ13*BJ17*((BJ16*BJ19)))</f>
        <v>883965.6460839361</v>
      </c>
      <c r="BK12" s="13">
        <f>IF('Вводные данные'!$E$66="нет",BK13*BK17*(BK15*BK19),BK13*BK17*((BK16*BK19)))</f>
        <v>889122.11235275911</v>
      </c>
      <c r="BL12" s="13">
        <f>IF('Вводные данные'!$E$66="нет",BL13*BL17*(BL15*BL19),BL13*BL17*((BL16*BL19)))</f>
        <v>894308.65800815017</v>
      </c>
      <c r="BM12" s="13">
        <f>IF('Вводные данные'!$E$66="нет",BM13*BM17*(BM15*BM19),BM13*BM17*((BM16*BM19)))</f>
        <v>899525.45851319761</v>
      </c>
      <c r="BN12" s="14"/>
      <c r="BO12" s="13">
        <f>SUM(F12:BM12)</f>
        <v>38542067.276176281</v>
      </c>
      <c r="BP12" s="107">
        <f>SUM(F12:Q12)</f>
        <v>5248800</v>
      </c>
      <c r="BQ12" s="107">
        <f>SUM(R12:AC12)</f>
        <v>6784880.9616687307</v>
      </c>
      <c r="BR12" s="107">
        <f>SUM(AD12:AO12)</f>
        <v>7275360.5549877007</v>
      </c>
      <c r="BS12" s="107">
        <f>SUM(AP12:BA12)</f>
        <v>8776459.077486787</v>
      </c>
      <c r="BT12" s="107">
        <f>SUM(BB12:BM12)</f>
        <v>10456566.682033062</v>
      </c>
      <c r="BU12" s="107">
        <f>SUM(BP12:BT12)</f>
        <v>38542067.276176274</v>
      </c>
    </row>
    <row r="13" spans="1:73" s="201" customFormat="1" outlineLevel="1" x14ac:dyDescent="0.2">
      <c r="C13" s="205" t="s">
        <v>26</v>
      </c>
      <c r="D13" s="202" t="s">
        <v>1</v>
      </c>
      <c r="E13" s="202"/>
      <c r="F13" s="218">
        <f>'Вводные данные'!E7</f>
        <v>15</v>
      </c>
      <c r="G13" s="218">
        <f>F13</f>
        <v>15</v>
      </c>
      <c r="H13" s="218">
        <f t="shared" ref="H13:BM13" si="3">G13</f>
        <v>15</v>
      </c>
      <c r="I13" s="218">
        <f t="shared" si="3"/>
        <v>15</v>
      </c>
      <c r="J13" s="218">
        <f t="shared" si="3"/>
        <v>15</v>
      </c>
      <c r="K13" s="218">
        <f t="shared" si="3"/>
        <v>15</v>
      </c>
      <c r="L13" s="218">
        <f t="shared" si="3"/>
        <v>15</v>
      </c>
      <c r="M13" s="218">
        <f t="shared" si="3"/>
        <v>15</v>
      </c>
      <c r="N13" s="218">
        <f t="shared" si="3"/>
        <v>15</v>
      </c>
      <c r="O13" s="218">
        <f t="shared" si="3"/>
        <v>15</v>
      </c>
      <c r="P13" s="218">
        <f t="shared" si="3"/>
        <v>15</v>
      </c>
      <c r="Q13" s="218">
        <f t="shared" si="3"/>
        <v>15</v>
      </c>
      <c r="R13" s="218">
        <f t="shared" si="3"/>
        <v>15</v>
      </c>
      <c r="S13" s="218">
        <f t="shared" si="3"/>
        <v>15</v>
      </c>
      <c r="T13" s="218">
        <f t="shared" si="3"/>
        <v>15</v>
      </c>
      <c r="U13" s="218">
        <f t="shared" si="3"/>
        <v>15</v>
      </c>
      <c r="V13" s="218">
        <f t="shared" si="3"/>
        <v>15</v>
      </c>
      <c r="W13" s="218">
        <f t="shared" si="3"/>
        <v>15</v>
      </c>
      <c r="X13" s="218">
        <f t="shared" si="3"/>
        <v>15</v>
      </c>
      <c r="Y13" s="218">
        <f t="shared" si="3"/>
        <v>15</v>
      </c>
      <c r="Z13" s="218">
        <f t="shared" si="3"/>
        <v>15</v>
      </c>
      <c r="AA13" s="218">
        <f t="shared" si="3"/>
        <v>15</v>
      </c>
      <c r="AB13" s="218">
        <f t="shared" si="3"/>
        <v>15</v>
      </c>
      <c r="AC13" s="218">
        <f t="shared" si="3"/>
        <v>15</v>
      </c>
      <c r="AD13" s="218">
        <f t="shared" si="3"/>
        <v>15</v>
      </c>
      <c r="AE13" s="218">
        <f t="shared" si="3"/>
        <v>15</v>
      </c>
      <c r="AF13" s="218">
        <f t="shared" si="3"/>
        <v>15</v>
      </c>
      <c r="AG13" s="218">
        <f t="shared" si="3"/>
        <v>15</v>
      </c>
      <c r="AH13" s="218">
        <f t="shared" si="3"/>
        <v>15</v>
      </c>
      <c r="AI13" s="218">
        <f t="shared" si="3"/>
        <v>15</v>
      </c>
      <c r="AJ13" s="218">
        <f t="shared" si="3"/>
        <v>15</v>
      </c>
      <c r="AK13" s="218">
        <f t="shared" si="3"/>
        <v>15</v>
      </c>
      <c r="AL13" s="218">
        <f t="shared" si="3"/>
        <v>15</v>
      </c>
      <c r="AM13" s="218">
        <f t="shared" si="3"/>
        <v>15</v>
      </c>
      <c r="AN13" s="218">
        <f t="shared" si="3"/>
        <v>15</v>
      </c>
      <c r="AO13" s="218">
        <f t="shared" si="3"/>
        <v>15</v>
      </c>
      <c r="AP13" s="218">
        <f t="shared" si="3"/>
        <v>15</v>
      </c>
      <c r="AQ13" s="218">
        <f t="shared" si="3"/>
        <v>15</v>
      </c>
      <c r="AR13" s="218">
        <f t="shared" si="3"/>
        <v>15</v>
      </c>
      <c r="AS13" s="218">
        <f t="shared" si="3"/>
        <v>15</v>
      </c>
      <c r="AT13" s="218">
        <f t="shared" si="3"/>
        <v>15</v>
      </c>
      <c r="AU13" s="218">
        <f t="shared" si="3"/>
        <v>15</v>
      </c>
      <c r="AV13" s="218">
        <f t="shared" si="3"/>
        <v>15</v>
      </c>
      <c r="AW13" s="218">
        <f t="shared" si="3"/>
        <v>15</v>
      </c>
      <c r="AX13" s="218">
        <f t="shared" si="3"/>
        <v>15</v>
      </c>
      <c r="AY13" s="218">
        <f t="shared" si="3"/>
        <v>15</v>
      </c>
      <c r="AZ13" s="218">
        <f t="shared" si="3"/>
        <v>15</v>
      </c>
      <c r="BA13" s="218">
        <f t="shared" si="3"/>
        <v>15</v>
      </c>
      <c r="BB13" s="218">
        <f t="shared" si="3"/>
        <v>15</v>
      </c>
      <c r="BC13" s="218">
        <f t="shared" si="3"/>
        <v>15</v>
      </c>
      <c r="BD13" s="218">
        <f t="shared" si="3"/>
        <v>15</v>
      </c>
      <c r="BE13" s="218">
        <f t="shared" si="3"/>
        <v>15</v>
      </c>
      <c r="BF13" s="218">
        <f t="shared" si="3"/>
        <v>15</v>
      </c>
      <c r="BG13" s="218">
        <f t="shared" si="3"/>
        <v>15</v>
      </c>
      <c r="BH13" s="218">
        <f t="shared" si="3"/>
        <v>15</v>
      </c>
      <c r="BI13" s="218">
        <f t="shared" si="3"/>
        <v>15</v>
      </c>
      <c r="BJ13" s="218">
        <f t="shared" si="3"/>
        <v>15</v>
      </c>
      <c r="BK13" s="218">
        <f t="shared" si="3"/>
        <v>15</v>
      </c>
      <c r="BL13" s="218">
        <f t="shared" si="3"/>
        <v>15</v>
      </c>
      <c r="BM13" s="218">
        <f t="shared" si="3"/>
        <v>15</v>
      </c>
    </row>
    <row r="14" spans="1:73" s="201" customFormat="1" outlineLevel="1" x14ac:dyDescent="0.2">
      <c r="C14" s="205" t="s">
        <v>21</v>
      </c>
      <c r="D14" s="202" t="s">
        <v>7</v>
      </c>
      <c r="E14" s="202"/>
      <c r="F14" s="220">
        <f>G14-5%</f>
        <v>0.25</v>
      </c>
      <c r="G14" s="220">
        <f>H14-5%</f>
        <v>0.3</v>
      </c>
      <c r="H14" s="220">
        <f>I14</f>
        <v>0.35</v>
      </c>
      <c r="I14" s="220">
        <f>'Вводные данные'!$E$14</f>
        <v>0.35</v>
      </c>
      <c r="J14" s="220">
        <f>'Вводные данные'!$E$14</f>
        <v>0.35</v>
      </c>
      <c r="K14" s="220">
        <f>'Вводные данные'!$E$14</f>
        <v>0.35</v>
      </c>
      <c r="L14" s="220">
        <f>'Вводные данные'!$E$14</f>
        <v>0.35</v>
      </c>
      <c r="M14" s="220">
        <f>'Вводные данные'!$E$14</f>
        <v>0.35</v>
      </c>
      <c r="N14" s="220">
        <f>'Вводные данные'!$E$14</f>
        <v>0.35</v>
      </c>
      <c r="O14" s="220">
        <f>'Вводные данные'!$E$14</f>
        <v>0.35</v>
      </c>
      <c r="P14" s="220">
        <f>'Вводные данные'!$E$14</f>
        <v>0.35</v>
      </c>
      <c r="Q14" s="221">
        <f>'Вводные данные'!$E$14</f>
        <v>0.35</v>
      </c>
      <c r="R14" s="220">
        <f>'Вводные данные'!$F$14</f>
        <v>0.4</v>
      </c>
      <c r="S14" s="220">
        <f>'Вводные данные'!$F$14</f>
        <v>0.4</v>
      </c>
      <c r="T14" s="220">
        <f>'Вводные данные'!$F$14</f>
        <v>0.4</v>
      </c>
      <c r="U14" s="220">
        <f>'Вводные данные'!$F$14</f>
        <v>0.4</v>
      </c>
      <c r="V14" s="220">
        <f>'Вводные данные'!$F$14</f>
        <v>0.4</v>
      </c>
      <c r="W14" s="220">
        <f>'Вводные данные'!$F$14</f>
        <v>0.4</v>
      </c>
      <c r="X14" s="220">
        <f>'Вводные данные'!$F$14</f>
        <v>0.4</v>
      </c>
      <c r="Y14" s="220">
        <f>'Вводные данные'!$F$14</f>
        <v>0.4</v>
      </c>
      <c r="Z14" s="220">
        <f>'Вводные данные'!$F$14</f>
        <v>0.4</v>
      </c>
      <c r="AA14" s="220">
        <f>'Вводные данные'!$F$14</f>
        <v>0.4</v>
      </c>
      <c r="AB14" s="220">
        <f>'Вводные данные'!$F$14</f>
        <v>0.4</v>
      </c>
      <c r="AC14" s="221">
        <f>'Вводные данные'!$F$14</f>
        <v>0.4</v>
      </c>
      <c r="AD14" s="220">
        <f>'Вводные данные'!$G$14</f>
        <v>0.4</v>
      </c>
      <c r="AE14" s="220">
        <f>'Вводные данные'!$G$14</f>
        <v>0.4</v>
      </c>
      <c r="AF14" s="220">
        <f>'Вводные данные'!$G$14</f>
        <v>0.4</v>
      </c>
      <c r="AG14" s="220">
        <f>'Вводные данные'!$G$14</f>
        <v>0.4</v>
      </c>
      <c r="AH14" s="220">
        <f>'Вводные данные'!$G$14</f>
        <v>0.4</v>
      </c>
      <c r="AI14" s="220">
        <f>'Вводные данные'!$G$14</f>
        <v>0.4</v>
      </c>
      <c r="AJ14" s="220">
        <f>'Вводные данные'!$G$14</f>
        <v>0.4</v>
      </c>
      <c r="AK14" s="220">
        <f>'Вводные данные'!$G$14</f>
        <v>0.4</v>
      </c>
      <c r="AL14" s="220">
        <f>'Вводные данные'!$G$14</f>
        <v>0.4</v>
      </c>
      <c r="AM14" s="220">
        <f>'Вводные данные'!$G$14</f>
        <v>0.4</v>
      </c>
      <c r="AN14" s="220">
        <f>'Вводные данные'!$G$14</f>
        <v>0.4</v>
      </c>
      <c r="AO14" s="221">
        <f>'Вводные данные'!$G$14</f>
        <v>0.4</v>
      </c>
      <c r="AP14" s="220">
        <f>'Вводные данные'!$H$14</f>
        <v>0.45</v>
      </c>
      <c r="AQ14" s="220">
        <f>'Вводные данные'!$H$14</f>
        <v>0.45</v>
      </c>
      <c r="AR14" s="220">
        <f>'Вводные данные'!$H$14</f>
        <v>0.45</v>
      </c>
      <c r="AS14" s="220">
        <f>'Вводные данные'!$H$14</f>
        <v>0.45</v>
      </c>
      <c r="AT14" s="220">
        <f>'Вводные данные'!$H$14</f>
        <v>0.45</v>
      </c>
      <c r="AU14" s="220">
        <f>'Вводные данные'!$H$14</f>
        <v>0.45</v>
      </c>
      <c r="AV14" s="220">
        <f>'Вводные данные'!$H$14</f>
        <v>0.45</v>
      </c>
      <c r="AW14" s="220">
        <f>'Вводные данные'!$H$14</f>
        <v>0.45</v>
      </c>
      <c r="AX14" s="220">
        <f>'Вводные данные'!$H$14</f>
        <v>0.45</v>
      </c>
      <c r="AY14" s="220">
        <f>'Вводные данные'!$H$14</f>
        <v>0.45</v>
      </c>
      <c r="AZ14" s="220">
        <f>'Вводные данные'!$H$14</f>
        <v>0.45</v>
      </c>
      <c r="BA14" s="221">
        <f>'Вводные данные'!$H$14</f>
        <v>0.45</v>
      </c>
      <c r="BB14" s="220">
        <f>'Вводные данные'!$I$14</f>
        <v>0.5</v>
      </c>
      <c r="BC14" s="220">
        <f>'Вводные данные'!$I$14</f>
        <v>0.5</v>
      </c>
      <c r="BD14" s="220">
        <f>'Вводные данные'!$I$14</f>
        <v>0.5</v>
      </c>
      <c r="BE14" s="220">
        <f>'Вводные данные'!$I$14</f>
        <v>0.5</v>
      </c>
      <c r="BF14" s="220">
        <f>'Вводные данные'!$I$14</f>
        <v>0.5</v>
      </c>
      <c r="BG14" s="220">
        <f>'Вводные данные'!$I$14</f>
        <v>0.5</v>
      </c>
      <c r="BH14" s="220">
        <f>'Вводные данные'!$I$14</f>
        <v>0.5</v>
      </c>
      <c r="BI14" s="220">
        <f>'Вводные данные'!$I$14</f>
        <v>0.5</v>
      </c>
      <c r="BJ14" s="220">
        <f>'Вводные данные'!$I$14</f>
        <v>0.5</v>
      </c>
      <c r="BK14" s="220">
        <f>'Вводные данные'!$I$14</f>
        <v>0.5</v>
      </c>
      <c r="BL14" s="220">
        <f>'Вводные данные'!$I$14</f>
        <v>0.5</v>
      </c>
      <c r="BM14" s="220">
        <f>'Вводные данные'!$I$14</f>
        <v>0.5</v>
      </c>
      <c r="BN14" s="222"/>
      <c r="BO14" s="223"/>
    </row>
    <row r="15" spans="1:73" s="201" customFormat="1" outlineLevel="1" x14ac:dyDescent="0.2">
      <c r="C15" s="205" t="s">
        <v>11</v>
      </c>
      <c r="D15" s="202" t="s">
        <v>25</v>
      </c>
      <c r="E15" s="202"/>
      <c r="F15" s="218">
        <f>'Вводные данные'!$E$17</f>
        <v>120</v>
      </c>
      <c r="G15" s="201">
        <f>'Вводные данные'!$E$17</f>
        <v>120</v>
      </c>
      <c r="H15" s="201">
        <f>'Вводные данные'!$E$17</f>
        <v>120</v>
      </c>
      <c r="I15" s="201">
        <f>'Вводные данные'!$E$17</f>
        <v>120</v>
      </c>
      <c r="J15" s="201">
        <f>'Вводные данные'!$E$17</f>
        <v>120</v>
      </c>
      <c r="K15" s="201">
        <f>'Вводные данные'!$E$17</f>
        <v>120</v>
      </c>
      <c r="L15" s="201">
        <f>'Вводные данные'!$E$17</f>
        <v>120</v>
      </c>
      <c r="M15" s="201">
        <f>'Вводные данные'!$E$17</f>
        <v>120</v>
      </c>
      <c r="N15" s="201">
        <f>'Вводные данные'!$E$17</f>
        <v>120</v>
      </c>
      <c r="O15" s="201">
        <f>'Вводные данные'!$E$17</f>
        <v>120</v>
      </c>
      <c r="P15" s="201">
        <f>'Вводные данные'!$E$17</f>
        <v>120</v>
      </c>
      <c r="Q15" s="201">
        <f>'Вводные данные'!$E$17</f>
        <v>120</v>
      </c>
      <c r="R15" s="201">
        <f>'Вводные данные'!$E$17</f>
        <v>120</v>
      </c>
      <c r="S15" s="201">
        <f>'Вводные данные'!$E$17</f>
        <v>120</v>
      </c>
      <c r="T15" s="201">
        <f>'Вводные данные'!$E$17</f>
        <v>120</v>
      </c>
      <c r="U15" s="201">
        <f>'Вводные данные'!$E$17</f>
        <v>120</v>
      </c>
      <c r="V15" s="201">
        <f>'Вводные данные'!$E$17</f>
        <v>120</v>
      </c>
      <c r="W15" s="201">
        <f>'Вводные данные'!$E$17</f>
        <v>120</v>
      </c>
      <c r="X15" s="201">
        <f>'Вводные данные'!$E$17</f>
        <v>120</v>
      </c>
      <c r="Y15" s="201">
        <f>'Вводные данные'!$E$17</f>
        <v>120</v>
      </c>
      <c r="Z15" s="201">
        <f>'Вводные данные'!$E$17</f>
        <v>120</v>
      </c>
      <c r="AA15" s="201">
        <f>'Вводные данные'!$E$17</f>
        <v>120</v>
      </c>
      <c r="AB15" s="201">
        <f>'Вводные данные'!$E$17</f>
        <v>120</v>
      </c>
      <c r="AC15" s="201">
        <f>'Вводные данные'!$E$17</f>
        <v>120</v>
      </c>
      <c r="AD15" s="201">
        <f>'Вводные данные'!$E$17</f>
        <v>120</v>
      </c>
      <c r="AE15" s="201">
        <f>'Вводные данные'!$E$17</f>
        <v>120</v>
      </c>
      <c r="AF15" s="201">
        <f>'Вводные данные'!$E$17</f>
        <v>120</v>
      </c>
      <c r="AG15" s="201">
        <f>'Вводные данные'!$E$17</f>
        <v>120</v>
      </c>
      <c r="AH15" s="201">
        <f>'Вводные данные'!$E$17</f>
        <v>120</v>
      </c>
      <c r="AI15" s="201">
        <f>'Вводные данные'!$E$17</f>
        <v>120</v>
      </c>
      <c r="AJ15" s="201">
        <f>'Вводные данные'!$E$17</f>
        <v>120</v>
      </c>
      <c r="AK15" s="201">
        <f>'Вводные данные'!$E$17</f>
        <v>120</v>
      </c>
      <c r="AL15" s="201">
        <f>'Вводные данные'!$E$17</f>
        <v>120</v>
      </c>
      <c r="AM15" s="201">
        <f>'Вводные данные'!$E$17</f>
        <v>120</v>
      </c>
      <c r="AN15" s="201">
        <f>'Вводные данные'!$E$17</f>
        <v>120</v>
      </c>
      <c r="AO15" s="201">
        <f>'Вводные данные'!$E$17</f>
        <v>120</v>
      </c>
      <c r="AP15" s="201">
        <f>'Вводные данные'!$E$17</f>
        <v>120</v>
      </c>
      <c r="AQ15" s="201">
        <f>'Вводные данные'!$E$17</f>
        <v>120</v>
      </c>
      <c r="AR15" s="201">
        <f>'Вводные данные'!$E$17</f>
        <v>120</v>
      </c>
      <c r="AS15" s="201">
        <f>'Вводные данные'!$E$17</f>
        <v>120</v>
      </c>
      <c r="AT15" s="201">
        <f>'Вводные данные'!$E$17</f>
        <v>120</v>
      </c>
      <c r="AU15" s="201">
        <f>'Вводные данные'!$E$17</f>
        <v>120</v>
      </c>
      <c r="AV15" s="201">
        <f>'Вводные данные'!$E$17</f>
        <v>120</v>
      </c>
      <c r="AW15" s="201">
        <f>'Вводные данные'!$E$17</f>
        <v>120</v>
      </c>
      <c r="AX15" s="201">
        <f>'Вводные данные'!$E$17</f>
        <v>120</v>
      </c>
      <c r="AY15" s="201">
        <f>'Вводные данные'!$E$17</f>
        <v>120</v>
      </c>
      <c r="AZ15" s="201">
        <f>'Вводные данные'!$E$17</f>
        <v>120</v>
      </c>
      <c r="BA15" s="201">
        <f>'Вводные данные'!$E$17</f>
        <v>120</v>
      </c>
      <c r="BB15" s="201">
        <f>'Вводные данные'!$E$17</f>
        <v>120</v>
      </c>
      <c r="BC15" s="201">
        <f>'Вводные данные'!$E$17</f>
        <v>120</v>
      </c>
      <c r="BD15" s="201">
        <f>'Вводные данные'!$E$17</f>
        <v>120</v>
      </c>
      <c r="BE15" s="201">
        <f>'Вводные данные'!$E$17</f>
        <v>120</v>
      </c>
      <c r="BF15" s="201">
        <f>'Вводные данные'!$E$17</f>
        <v>120</v>
      </c>
      <c r="BG15" s="201">
        <f>'Вводные данные'!$E$17</f>
        <v>120</v>
      </c>
      <c r="BH15" s="201">
        <f>'Вводные данные'!$E$17</f>
        <v>120</v>
      </c>
      <c r="BI15" s="201">
        <f>'Вводные данные'!$E$17</f>
        <v>120</v>
      </c>
      <c r="BJ15" s="201">
        <f>'Вводные данные'!$E$17</f>
        <v>120</v>
      </c>
      <c r="BK15" s="201">
        <f>'Вводные данные'!$E$17</f>
        <v>120</v>
      </c>
      <c r="BL15" s="201">
        <f>'Вводные данные'!$E$17</f>
        <v>120</v>
      </c>
      <c r="BM15" s="201">
        <f>'Вводные данные'!$E$17</f>
        <v>120</v>
      </c>
    </row>
    <row r="16" spans="1:73" s="201" customFormat="1" outlineLevel="1" x14ac:dyDescent="0.2">
      <c r="C16" s="205" t="s">
        <v>81</v>
      </c>
      <c r="D16" s="202" t="s">
        <v>25</v>
      </c>
      <c r="E16" s="202"/>
      <c r="F16" s="224">
        <f t="shared" ref="F16:AK16" si="4">F15*F8</f>
        <v>120</v>
      </c>
      <c r="G16" s="224">
        <f t="shared" si="4"/>
        <v>120</v>
      </c>
      <c r="H16" s="224">
        <f t="shared" si="4"/>
        <v>120</v>
      </c>
      <c r="I16" s="224">
        <f t="shared" si="4"/>
        <v>120</v>
      </c>
      <c r="J16" s="224">
        <f t="shared" si="4"/>
        <v>120</v>
      </c>
      <c r="K16" s="224">
        <f t="shared" si="4"/>
        <v>120</v>
      </c>
      <c r="L16" s="224">
        <f t="shared" si="4"/>
        <v>120</v>
      </c>
      <c r="M16" s="224">
        <f t="shared" si="4"/>
        <v>120</v>
      </c>
      <c r="N16" s="224">
        <f t="shared" si="4"/>
        <v>120</v>
      </c>
      <c r="O16" s="224">
        <f t="shared" si="4"/>
        <v>120</v>
      </c>
      <c r="P16" s="224">
        <f t="shared" si="4"/>
        <v>120</v>
      </c>
      <c r="Q16" s="224">
        <f t="shared" si="4"/>
        <v>120</v>
      </c>
      <c r="R16" s="224">
        <f t="shared" si="4"/>
        <v>120.7</v>
      </c>
      <c r="S16" s="224">
        <f t="shared" si="4"/>
        <v>121.40408333333333</v>
      </c>
      <c r="T16" s="224">
        <f t="shared" si="4"/>
        <v>122.11227381944445</v>
      </c>
      <c r="U16" s="224">
        <f t="shared" si="4"/>
        <v>122.82459541672455</v>
      </c>
      <c r="V16" s="224">
        <f t="shared" si="4"/>
        <v>123.54107222332212</v>
      </c>
      <c r="W16" s="224">
        <f t="shared" si="4"/>
        <v>124.26172847795816</v>
      </c>
      <c r="X16" s="224">
        <f t="shared" si="4"/>
        <v>124.98658856074624</v>
      </c>
      <c r="Y16" s="224">
        <f t="shared" si="4"/>
        <v>125.71567699401727</v>
      </c>
      <c r="Z16" s="224">
        <f t="shared" si="4"/>
        <v>126.44901844314904</v>
      </c>
      <c r="AA16" s="224">
        <f t="shared" si="4"/>
        <v>127.18663771740074</v>
      </c>
      <c r="AB16" s="224">
        <f t="shared" si="4"/>
        <v>127.92855977075226</v>
      </c>
      <c r="AC16" s="224">
        <f t="shared" si="4"/>
        <v>128.67480970274835</v>
      </c>
      <c r="AD16" s="224">
        <f t="shared" si="4"/>
        <v>129.42541275934769</v>
      </c>
      <c r="AE16" s="224">
        <f t="shared" si="4"/>
        <v>130.18039433377723</v>
      </c>
      <c r="AF16" s="224">
        <f t="shared" si="4"/>
        <v>130.93977996739093</v>
      </c>
      <c r="AG16" s="224">
        <f t="shared" si="4"/>
        <v>131.70359535053404</v>
      </c>
      <c r="AH16" s="224">
        <f t="shared" si="4"/>
        <v>132.4718663234122</v>
      </c>
      <c r="AI16" s="224">
        <f t="shared" si="4"/>
        <v>133.2446188769654</v>
      </c>
      <c r="AJ16" s="224">
        <f t="shared" si="4"/>
        <v>134.02187915374773</v>
      </c>
      <c r="AK16" s="224">
        <f t="shared" si="4"/>
        <v>134.80367344881125</v>
      </c>
      <c r="AL16" s="224">
        <f t="shared" ref="AL16:BM16" si="5">AL15*AL8</f>
        <v>135.59002821059599</v>
      </c>
      <c r="AM16" s="224">
        <f t="shared" si="5"/>
        <v>136.38097004182447</v>
      </c>
      <c r="AN16" s="224">
        <f t="shared" si="5"/>
        <v>137.17652570040178</v>
      </c>
      <c r="AO16" s="224">
        <f t="shared" si="5"/>
        <v>137.97672210032081</v>
      </c>
      <c r="AP16" s="224">
        <f t="shared" si="5"/>
        <v>138.7815863125727</v>
      </c>
      <c r="AQ16" s="224">
        <f t="shared" si="5"/>
        <v>139.59114556606272</v>
      </c>
      <c r="AR16" s="224">
        <f t="shared" si="5"/>
        <v>140.40542724853142</v>
      </c>
      <c r="AS16" s="224">
        <f t="shared" si="5"/>
        <v>141.22445890748119</v>
      </c>
      <c r="AT16" s="224">
        <f t="shared" si="5"/>
        <v>142.04826825110817</v>
      </c>
      <c r="AU16" s="224">
        <f t="shared" si="5"/>
        <v>142.87688314923963</v>
      </c>
      <c r="AV16" s="224">
        <f t="shared" si="5"/>
        <v>143.71033163427688</v>
      </c>
      <c r="AW16" s="224">
        <f t="shared" si="5"/>
        <v>144.54864190214352</v>
      </c>
      <c r="AX16" s="224">
        <f t="shared" si="5"/>
        <v>145.39184231323935</v>
      </c>
      <c r="AY16" s="224">
        <f t="shared" si="5"/>
        <v>146.23996139339991</v>
      </c>
      <c r="AZ16" s="224">
        <f t="shared" si="5"/>
        <v>147.0930278348614</v>
      </c>
      <c r="BA16" s="224">
        <f t="shared" si="5"/>
        <v>147.95107049723146</v>
      </c>
      <c r="BB16" s="224">
        <f t="shared" si="5"/>
        <v>148.8141184084653</v>
      </c>
      <c r="BC16" s="224">
        <f t="shared" si="5"/>
        <v>149.68220076584802</v>
      </c>
      <c r="BD16" s="224">
        <f t="shared" si="5"/>
        <v>150.55534693698215</v>
      </c>
      <c r="BE16" s="224">
        <f t="shared" si="5"/>
        <v>151.43358646078121</v>
      </c>
      <c r="BF16" s="224">
        <f t="shared" si="5"/>
        <v>152.3169490484691</v>
      </c>
      <c r="BG16" s="224">
        <f t="shared" si="5"/>
        <v>153.20546458458517</v>
      </c>
      <c r="BH16" s="224">
        <f t="shared" si="5"/>
        <v>154.09916312799527</v>
      </c>
      <c r="BI16" s="224">
        <f t="shared" si="5"/>
        <v>154.99807491290858</v>
      </c>
      <c r="BJ16" s="224">
        <f t="shared" si="5"/>
        <v>155.90223034990055</v>
      </c>
      <c r="BK16" s="224">
        <f t="shared" si="5"/>
        <v>156.81166002694164</v>
      </c>
      <c r="BL16" s="224">
        <f t="shared" si="5"/>
        <v>157.72639471043212</v>
      </c>
      <c r="BM16" s="224">
        <f t="shared" si="5"/>
        <v>158.64646534624296</v>
      </c>
      <c r="BO16" s="224"/>
    </row>
    <row r="17" spans="1:73" s="3" customFormat="1" outlineLevel="1" x14ac:dyDescent="0.2">
      <c r="C17" s="15" t="s">
        <v>88</v>
      </c>
      <c r="D17" s="16" t="s">
        <v>89</v>
      </c>
      <c r="E17" s="16"/>
      <c r="F17" s="3">
        <f t="shared" ref="F17:AK17" si="6">F9*F14</f>
        <v>180</v>
      </c>
      <c r="G17" s="3">
        <f t="shared" si="6"/>
        <v>216</v>
      </c>
      <c r="H17" s="3">
        <f t="shared" si="6"/>
        <v>251.99999999999997</v>
      </c>
      <c r="I17" s="3">
        <f t="shared" si="6"/>
        <v>251.99999999999997</v>
      </c>
      <c r="J17" s="3">
        <f t="shared" si="6"/>
        <v>251.99999999999997</v>
      </c>
      <c r="K17" s="3">
        <f t="shared" si="6"/>
        <v>251.99999999999997</v>
      </c>
      <c r="L17" s="3">
        <f t="shared" si="6"/>
        <v>251.99999999999997</v>
      </c>
      <c r="M17" s="3">
        <f t="shared" si="6"/>
        <v>251.99999999999997</v>
      </c>
      <c r="N17" s="3">
        <f t="shared" si="6"/>
        <v>251.99999999999997</v>
      </c>
      <c r="O17" s="3">
        <f t="shared" si="6"/>
        <v>251.99999999999997</v>
      </c>
      <c r="P17" s="3">
        <f t="shared" si="6"/>
        <v>251.99999999999997</v>
      </c>
      <c r="Q17" s="3">
        <f t="shared" si="6"/>
        <v>251.99999999999997</v>
      </c>
      <c r="R17" s="3">
        <f t="shared" si="6"/>
        <v>288</v>
      </c>
      <c r="S17" s="3">
        <f t="shared" si="6"/>
        <v>288</v>
      </c>
      <c r="T17" s="3">
        <f t="shared" si="6"/>
        <v>288</v>
      </c>
      <c r="U17" s="3">
        <f t="shared" si="6"/>
        <v>288</v>
      </c>
      <c r="V17" s="3">
        <f t="shared" si="6"/>
        <v>288</v>
      </c>
      <c r="W17" s="3">
        <f t="shared" si="6"/>
        <v>288</v>
      </c>
      <c r="X17" s="3">
        <f t="shared" si="6"/>
        <v>288</v>
      </c>
      <c r="Y17" s="3">
        <f t="shared" si="6"/>
        <v>288</v>
      </c>
      <c r="Z17" s="3">
        <f t="shared" si="6"/>
        <v>288</v>
      </c>
      <c r="AA17" s="3">
        <f t="shared" si="6"/>
        <v>288</v>
      </c>
      <c r="AB17" s="3">
        <f t="shared" si="6"/>
        <v>288</v>
      </c>
      <c r="AC17" s="3">
        <f t="shared" si="6"/>
        <v>288</v>
      </c>
      <c r="AD17" s="3">
        <f t="shared" si="6"/>
        <v>288</v>
      </c>
      <c r="AE17" s="3">
        <f t="shared" si="6"/>
        <v>288</v>
      </c>
      <c r="AF17" s="3">
        <f t="shared" si="6"/>
        <v>288</v>
      </c>
      <c r="AG17" s="3">
        <f t="shared" si="6"/>
        <v>288</v>
      </c>
      <c r="AH17" s="3">
        <f t="shared" si="6"/>
        <v>288</v>
      </c>
      <c r="AI17" s="3">
        <f t="shared" si="6"/>
        <v>288</v>
      </c>
      <c r="AJ17" s="3">
        <f t="shared" si="6"/>
        <v>288</v>
      </c>
      <c r="AK17" s="3">
        <f t="shared" si="6"/>
        <v>288</v>
      </c>
      <c r="AL17" s="3">
        <f t="shared" ref="AL17:BM17" si="7">AL9*AL14</f>
        <v>288</v>
      </c>
      <c r="AM17" s="3">
        <f t="shared" si="7"/>
        <v>288</v>
      </c>
      <c r="AN17" s="3">
        <f t="shared" si="7"/>
        <v>288</v>
      </c>
      <c r="AO17" s="3">
        <f t="shared" si="7"/>
        <v>288</v>
      </c>
      <c r="AP17" s="3">
        <f t="shared" si="7"/>
        <v>324</v>
      </c>
      <c r="AQ17" s="3">
        <f t="shared" si="7"/>
        <v>324</v>
      </c>
      <c r="AR17" s="3">
        <f t="shared" si="7"/>
        <v>324</v>
      </c>
      <c r="AS17" s="3">
        <f t="shared" si="7"/>
        <v>324</v>
      </c>
      <c r="AT17" s="3">
        <f t="shared" si="7"/>
        <v>324</v>
      </c>
      <c r="AU17" s="3">
        <f t="shared" si="7"/>
        <v>324</v>
      </c>
      <c r="AV17" s="3">
        <f t="shared" si="7"/>
        <v>324</v>
      </c>
      <c r="AW17" s="3">
        <f t="shared" si="7"/>
        <v>324</v>
      </c>
      <c r="AX17" s="3">
        <f t="shared" si="7"/>
        <v>324</v>
      </c>
      <c r="AY17" s="3">
        <f t="shared" si="7"/>
        <v>324</v>
      </c>
      <c r="AZ17" s="3">
        <f t="shared" si="7"/>
        <v>324</v>
      </c>
      <c r="BA17" s="3">
        <f t="shared" si="7"/>
        <v>324</v>
      </c>
      <c r="BB17" s="3">
        <f t="shared" si="7"/>
        <v>360</v>
      </c>
      <c r="BC17" s="3">
        <f t="shared" si="7"/>
        <v>360</v>
      </c>
      <c r="BD17" s="3">
        <f t="shared" si="7"/>
        <v>360</v>
      </c>
      <c r="BE17" s="3">
        <f t="shared" si="7"/>
        <v>360</v>
      </c>
      <c r="BF17" s="3">
        <f t="shared" si="7"/>
        <v>360</v>
      </c>
      <c r="BG17" s="3">
        <f t="shared" si="7"/>
        <v>360</v>
      </c>
      <c r="BH17" s="3">
        <f t="shared" si="7"/>
        <v>360</v>
      </c>
      <c r="BI17" s="3">
        <f t="shared" si="7"/>
        <v>360</v>
      </c>
      <c r="BJ17" s="3">
        <f t="shared" si="7"/>
        <v>360</v>
      </c>
      <c r="BK17" s="3">
        <f t="shared" si="7"/>
        <v>360</v>
      </c>
      <c r="BL17" s="3">
        <f t="shared" si="7"/>
        <v>360</v>
      </c>
      <c r="BM17" s="3">
        <f t="shared" si="7"/>
        <v>360</v>
      </c>
    </row>
    <row r="18" spans="1:73" s="3" customFormat="1" outlineLevel="1" x14ac:dyDescent="0.2">
      <c r="C18" s="15" t="s">
        <v>85</v>
      </c>
      <c r="D18" s="16"/>
      <c r="E18" s="16"/>
      <c r="F18" s="108">
        <f>'Вводные данные'!$E$71</f>
        <v>0</v>
      </c>
      <c r="G18" s="108">
        <f>'Вводные данные'!$E$71</f>
        <v>0</v>
      </c>
      <c r="H18" s="108">
        <f>'Вводные данные'!$E$71</f>
        <v>0</v>
      </c>
      <c r="I18" s="108">
        <f>'Вводные данные'!$E$71</f>
        <v>0</v>
      </c>
      <c r="J18" s="108">
        <f>'Вводные данные'!$E$71</f>
        <v>0</v>
      </c>
      <c r="K18" s="108">
        <f>'Вводные данные'!$E$71</f>
        <v>0</v>
      </c>
      <c r="L18" s="108">
        <f>'Вводные данные'!$E$71</f>
        <v>0</v>
      </c>
      <c r="M18" s="108">
        <f>'Вводные данные'!$E$71</f>
        <v>0</v>
      </c>
      <c r="N18" s="108">
        <f>'Вводные данные'!$E$71</f>
        <v>0</v>
      </c>
      <c r="O18" s="108">
        <f>'Вводные данные'!$E$71</f>
        <v>0</v>
      </c>
      <c r="P18" s="108">
        <f>'Вводные данные'!$E$71</f>
        <v>0</v>
      </c>
      <c r="Q18" s="108">
        <f>'Вводные данные'!$E$71</f>
        <v>0</v>
      </c>
      <c r="R18" s="108">
        <f>'Вводные данные'!$F$71</f>
        <v>0.05</v>
      </c>
      <c r="S18" s="108">
        <f>'Вводные данные'!$F$71</f>
        <v>0.05</v>
      </c>
      <c r="T18" s="108">
        <f>'Вводные данные'!$F$71</f>
        <v>0.05</v>
      </c>
      <c r="U18" s="108">
        <f>'Вводные данные'!$F$71</f>
        <v>0.05</v>
      </c>
      <c r="V18" s="108">
        <f>'Вводные данные'!$F$71</f>
        <v>0.05</v>
      </c>
      <c r="W18" s="108">
        <f>'Вводные данные'!$F$71</f>
        <v>0.05</v>
      </c>
      <c r="X18" s="108">
        <f>'Вводные данные'!$F$71</f>
        <v>0.05</v>
      </c>
      <c r="Y18" s="108">
        <f>'Вводные данные'!$F$71</f>
        <v>0.05</v>
      </c>
      <c r="Z18" s="108">
        <f>'Вводные данные'!$F$71</f>
        <v>0.05</v>
      </c>
      <c r="AA18" s="108">
        <f>'Вводные данные'!$F$71</f>
        <v>0.05</v>
      </c>
      <c r="AB18" s="108">
        <f>'Вводные данные'!$F$71</f>
        <v>0.05</v>
      </c>
      <c r="AC18" s="108">
        <f>'Вводные данные'!$F$71</f>
        <v>0.05</v>
      </c>
      <c r="AD18" s="108">
        <f>'Вводные данные'!$G$71</f>
        <v>0.05</v>
      </c>
      <c r="AE18" s="108">
        <f>'Вводные данные'!$G$71</f>
        <v>0.05</v>
      </c>
      <c r="AF18" s="108">
        <f>'Вводные данные'!$G$71</f>
        <v>0.05</v>
      </c>
      <c r="AG18" s="108">
        <f>'Вводные данные'!$G$71</f>
        <v>0.05</v>
      </c>
      <c r="AH18" s="108">
        <f>'Вводные данные'!$G$71</f>
        <v>0.05</v>
      </c>
      <c r="AI18" s="108">
        <f>'Вводные данные'!$G$71</f>
        <v>0.05</v>
      </c>
      <c r="AJ18" s="108">
        <f>'Вводные данные'!$G$71</f>
        <v>0.05</v>
      </c>
      <c r="AK18" s="108">
        <f>'Вводные данные'!$G$71</f>
        <v>0.05</v>
      </c>
      <c r="AL18" s="108">
        <f>'Вводные данные'!$G$71</f>
        <v>0.05</v>
      </c>
      <c r="AM18" s="108">
        <f>'Вводные данные'!$G$71</f>
        <v>0.05</v>
      </c>
      <c r="AN18" s="108">
        <f>'Вводные данные'!$G$71</f>
        <v>0.05</v>
      </c>
      <c r="AO18" s="108">
        <f>'Вводные данные'!$G$71</f>
        <v>0.05</v>
      </c>
      <c r="AP18" s="108">
        <f>'Вводные данные'!$H$71</f>
        <v>0.05</v>
      </c>
      <c r="AQ18" s="108">
        <f>'Вводные данные'!$H$71</f>
        <v>0.05</v>
      </c>
      <c r="AR18" s="108">
        <f>'Вводные данные'!$H$71</f>
        <v>0.05</v>
      </c>
      <c r="AS18" s="108">
        <f>'Вводные данные'!$H$71</f>
        <v>0.05</v>
      </c>
      <c r="AT18" s="108">
        <f>'Вводные данные'!$H$71</f>
        <v>0.05</v>
      </c>
      <c r="AU18" s="108">
        <f>'Вводные данные'!$H$71</f>
        <v>0.05</v>
      </c>
      <c r="AV18" s="108">
        <f>'Вводные данные'!$H$71</f>
        <v>0.05</v>
      </c>
      <c r="AW18" s="108">
        <f>'Вводные данные'!$H$71</f>
        <v>0.05</v>
      </c>
      <c r="AX18" s="108">
        <f>'Вводные данные'!$H$71</f>
        <v>0.05</v>
      </c>
      <c r="AY18" s="108">
        <f>'Вводные данные'!$H$71</f>
        <v>0.05</v>
      </c>
      <c r="AZ18" s="108">
        <f>'Вводные данные'!$H$71</f>
        <v>0.05</v>
      </c>
      <c r="BA18" s="108">
        <f>'Вводные данные'!$H$71</f>
        <v>0.05</v>
      </c>
      <c r="BB18" s="108">
        <f>'Вводные данные'!$I$71</f>
        <v>0.05</v>
      </c>
      <c r="BC18" s="108">
        <f>'Вводные данные'!$I$71</f>
        <v>0.05</v>
      </c>
      <c r="BD18" s="108">
        <f>'Вводные данные'!$I$71</f>
        <v>0.05</v>
      </c>
      <c r="BE18" s="108">
        <f>'Вводные данные'!$I$71</f>
        <v>0.05</v>
      </c>
      <c r="BF18" s="108">
        <f>'Вводные данные'!$I$71</f>
        <v>0.05</v>
      </c>
      <c r="BG18" s="108">
        <f>'Вводные данные'!$I$71</f>
        <v>0.05</v>
      </c>
      <c r="BH18" s="108">
        <f>'Вводные данные'!$I$71</f>
        <v>0.05</v>
      </c>
      <c r="BI18" s="108">
        <f>'Вводные данные'!$I$71</f>
        <v>0.05</v>
      </c>
      <c r="BJ18" s="108">
        <f>'Вводные данные'!$I$71</f>
        <v>0.05</v>
      </c>
      <c r="BK18" s="108">
        <f>'Вводные данные'!$I$71</f>
        <v>0.05</v>
      </c>
      <c r="BL18" s="108">
        <f>'Вводные данные'!$I$71</f>
        <v>0.05</v>
      </c>
      <c r="BM18" s="108">
        <f>'Вводные данные'!$I$71</f>
        <v>0.05</v>
      </c>
      <c r="BO18" s="109"/>
    </row>
    <row r="19" spans="1:73" s="3" customFormat="1" outlineLevel="1" x14ac:dyDescent="0.2">
      <c r="C19" s="15" t="s">
        <v>80</v>
      </c>
      <c r="D19" s="16" t="s">
        <v>7</v>
      </c>
      <c r="E19" s="16"/>
      <c r="F19" s="109">
        <f>100%*(F18+1)</f>
        <v>1</v>
      </c>
      <c r="G19" s="109">
        <f t="shared" ref="G19:Q19" si="8">100%*(G18+1)</f>
        <v>1</v>
      </c>
      <c r="H19" s="109">
        <f t="shared" si="8"/>
        <v>1</v>
      </c>
      <c r="I19" s="109">
        <f t="shared" si="8"/>
        <v>1</v>
      </c>
      <c r="J19" s="109">
        <f t="shared" si="8"/>
        <v>1</v>
      </c>
      <c r="K19" s="109">
        <f t="shared" si="8"/>
        <v>1</v>
      </c>
      <c r="L19" s="109">
        <f t="shared" si="8"/>
        <v>1</v>
      </c>
      <c r="M19" s="109">
        <f t="shared" si="8"/>
        <v>1</v>
      </c>
      <c r="N19" s="109">
        <f t="shared" si="8"/>
        <v>1</v>
      </c>
      <c r="O19" s="109">
        <f t="shared" si="8"/>
        <v>1</v>
      </c>
      <c r="P19" s="109">
        <f t="shared" si="8"/>
        <v>1</v>
      </c>
      <c r="Q19" s="109">
        <f t="shared" si="8"/>
        <v>1</v>
      </c>
      <c r="R19" s="109">
        <f t="shared" ref="R19" si="9">100%*(R18+1)</f>
        <v>1.05</v>
      </c>
      <c r="S19" s="109">
        <f t="shared" ref="S19" si="10">100%*(S18+1)</f>
        <v>1.05</v>
      </c>
      <c r="T19" s="109">
        <f t="shared" ref="T19" si="11">100%*(T18+1)</f>
        <v>1.05</v>
      </c>
      <c r="U19" s="109">
        <f t="shared" ref="U19" si="12">100%*(U18+1)</f>
        <v>1.05</v>
      </c>
      <c r="V19" s="109">
        <f t="shared" ref="V19" si="13">100%*(V18+1)</f>
        <v>1.05</v>
      </c>
      <c r="W19" s="109">
        <f t="shared" ref="W19" si="14">100%*(W18+1)</f>
        <v>1.05</v>
      </c>
      <c r="X19" s="109">
        <f t="shared" ref="X19" si="15">100%*(X18+1)</f>
        <v>1.05</v>
      </c>
      <c r="Y19" s="109">
        <f t="shared" ref="Y19" si="16">100%*(Y18+1)</f>
        <v>1.05</v>
      </c>
      <c r="Z19" s="109">
        <f t="shared" ref="Z19" si="17">100%*(Z18+1)</f>
        <v>1.05</v>
      </c>
      <c r="AA19" s="109">
        <f t="shared" ref="AA19" si="18">100%*(AA18+1)</f>
        <v>1.05</v>
      </c>
      <c r="AB19" s="109">
        <f t="shared" ref="AB19" si="19">100%*(AB18+1)</f>
        <v>1.05</v>
      </c>
      <c r="AC19" s="109">
        <f t="shared" ref="AC19" si="20">100%*(AC18+1)</f>
        <v>1.05</v>
      </c>
      <c r="AD19" s="109">
        <f t="shared" ref="AD19" si="21">100%*(AD18+1)</f>
        <v>1.05</v>
      </c>
      <c r="AE19" s="109">
        <f t="shared" ref="AE19" si="22">100%*(AE18+1)</f>
        <v>1.05</v>
      </c>
      <c r="AF19" s="109">
        <f t="shared" ref="AF19" si="23">100%*(AF18+1)</f>
        <v>1.05</v>
      </c>
      <c r="AG19" s="109">
        <f t="shared" ref="AG19" si="24">100%*(AG18+1)</f>
        <v>1.05</v>
      </c>
      <c r="AH19" s="109">
        <f t="shared" ref="AH19" si="25">100%*(AH18+1)</f>
        <v>1.05</v>
      </c>
      <c r="AI19" s="109">
        <f t="shared" ref="AI19" si="26">100%*(AI18+1)</f>
        <v>1.05</v>
      </c>
      <c r="AJ19" s="109">
        <f t="shared" ref="AJ19" si="27">100%*(AJ18+1)</f>
        <v>1.05</v>
      </c>
      <c r="AK19" s="109">
        <f t="shared" ref="AK19" si="28">100%*(AK18+1)</f>
        <v>1.05</v>
      </c>
      <c r="AL19" s="109">
        <f t="shared" ref="AL19" si="29">100%*(AL18+1)</f>
        <v>1.05</v>
      </c>
      <c r="AM19" s="109">
        <f t="shared" ref="AM19" si="30">100%*(AM18+1)</f>
        <v>1.05</v>
      </c>
      <c r="AN19" s="109">
        <f t="shared" ref="AN19" si="31">100%*(AN18+1)</f>
        <v>1.05</v>
      </c>
      <c r="AO19" s="109">
        <f t="shared" ref="AO19" si="32">100%*(AO18+1)</f>
        <v>1.05</v>
      </c>
      <c r="AP19" s="109">
        <f t="shared" ref="AP19" si="33">100%*(AP18+1)</f>
        <v>1.05</v>
      </c>
      <c r="AQ19" s="109">
        <f t="shared" ref="AQ19" si="34">100%*(AQ18+1)</f>
        <v>1.05</v>
      </c>
      <c r="AR19" s="109">
        <f t="shared" ref="AR19" si="35">100%*(AR18+1)</f>
        <v>1.05</v>
      </c>
      <c r="AS19" s="109">
        <f t="shared" ref="AS19" si="36">100%*(AS18+1)</f>
        <v>1.05</v>
      </c>
      <c r="AT19" s="109">
        <f t="shared" ref="AT19" si="37">100%*(AT18+1)</f>
        <v>1.05</v>
      </c>
      <c r="AU19" s="109">
        <f t="shared" ref="AU19" si="38">100%*(AU18+1)</f>
        <v>1.05</v>
      </c>
      <c r="AV19" s="109">
        <f t="shared" ref="AV19" si="39">100%*(AV18+1)</f>
        <v>1.05</v>
      </c>
      <c r="AW19" s="109">
        <f t="shared" ref="AW19" si="40">100%*(AW18+1)</f>
        <v>1.05</v>
      </c>
      <c r="AX19" s="109">
        <f t="shared" ref="AX19" si="41">100%*(AX18+1)</f>
        <v>1.05</v>
      </c>
      <c r="AY19" s="109">
        <f t="shared" ref="AY19" si="42">100%*(AY18+1)</f>
        <v>1.05</v>
      </c>
      <c r="AZ19" s="109">
        <f t="shared" ref="AZ19" si="43">100%*(AZ18+1)</f>
        <v>1.05</v>
      </c>
      <c r="BA19" s="109">
        <f t="shared" ref="BA19" si="44">100%*(BA18+1)</f>
        <v>1.05</v>
      </c>
      <c r="BB19" s="109">
        <f t="shared" ref="BB19" si="45">100%*(BB18+1)</f>
        <v>1.05</v>
      </c>
      <c r="BC19" s="109">
        <f t="shared" ref="BC19" si="46">100%*(BC18+1)</f>
        <v>1.05</v>
      </c>
      <c r="BD19" s="109">
        <f t="shared" ref="BD19" si="47">100%*(BD18+1)</f>
        <v>1.05</v>
      </c>
      <c r="BE19" s="109">
        <f t="shared" ref="BE19" si="48">100%*(BE18+1)</f>
        <v>1.05</v>
      </c>
      <c r="BF19" s="109">
        <f t="shared" ref="BF19" si="49">100%*(BF18+1)</f>
        <v>1.05</v>
      </c>
      <c r="BG19" s="109">
        <f t="shared" ref="BG19" si="50">100%*(BG18+1)</f>
        <v>1.05</v>
      </c>
      <c r="BH19" s="109">
        <f t="shared" ref="BH19" si="51">100%*(BH18+1)</f>
        <v>1.05</v>
      </c>
      <c r="BI19" s="109">
        <f t="shared" ref="BI19" si="52">100%*(BI18+1)</f>
        <v>1.05</v>
      </c>
      <c r="BJ19" s="109">
        <f t="shared" ref="BJ19" si="53">100%*(BJ18+1)</f>
        <v>1.05</v>
      </c>
      <c r="BK19" s="109">
        <f t="shared" ref="BK19" si="54">100%*(BK18+1)</f>
        <v>1.05</v>
      </c>
      <c r="BL19" s="109">
        <f t="shared" ref="BL19" si="55">100%*(BL18+1)</f>
        <v>1.05</v>
      </c>
      <c r="BM19" s="109">
        <f t="shared" ref="BM19" si="56">100%*(BM18+1)</f>
        <v>1.05</v>
      </c>
      <c r="BN19" s="109"/>
      <c r="BO19" s="109"/>
      <c r="BP19" s="109"/>
    </row>
    <row r="20" spans="1:73" s="1" customFormat="1" x14ac:dyDescent="0.2">
      <c r="C20" s="110"/>
      <c r="D20" s="2"/>
      <c r="E20" s="2"/>
      <c r="F20" s="29"/>
      <c r="G20" s="29"/>
      <c r="H20" s="29"/>
      <c r="I20" s="29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0"/>
      <c r="AP20" s="30"/>
      <c r="AQ20" s="30"/>
      <c r="AR20" s="30"/>
      <c r="AS20" s="30"/>
      <c r="AT20" s="30"/>
      <c r="AU20" s="30"/>
      <c r="AV20" s="30"/>
      <c r="AW20" s="30"/>
      <c r="AX20" s="30"/>
      <c r="AY20" s="30"/>
      <c r="AZ20" s="30"/>
      <c r="BA20" s="30"/>
      <c r="BB20" s="30"/>
      <c r="BC20" s="30"/>
      <c r="BD20" s="30"/>
      <c r="BE20" s="30"/>
      <c r="BF20" s="30"/>
      <c r="BG20" s="30"/>
      <c r="BH20" s="30"/>
      <c r="BI20" s="30"/>
      <c r="BJ20" s="30"/>
      <c r="BK20" s="30"/>
      <c r="BL20" s="30"/>
      <c r="BM20" s="30"/>
      <c r="BN20" s="30"/>
      <c r="BO20" s="30"/>
      <c r="BP20" s="97"/>
      <c r="BQ20" s="97"/>
      <c r="BR20" s="97"/>
      <c r="BS20" s="97"/>
      <c r="BT20" s="97"/>
      <c r="BU20" s="97"/>
    </row>
    <row r="21" spans="1:73" s="201" customFormat="1" x14ac:dyDescent="0.2">
      <c r="C21" s="205"/>
      <c r="D21" s="202"/>
      <c r="E21" s="202"/>
    </row>
    <row r="22" spans="1:73" s="1" customFormat="1" x14ac:dyDescent="0.2">
      <c r="A22" s="34"/>
      <c r="B22" s="34"/>
      <c r="C22" s="106" t="s">
        <v>44</v>
      </c>
      <c r="D22" s="35"/>
      <c r="E22" s="35"/>
      <c r="F22" s="13">
        <f>IF('Вводные данные'!$E$66="нет",F23*F27*(F25*F29),F23*F27*((F26*F29)))</f>
        <v>93600</v>
      </c>
      <c r="G22" s="13">
        <f>IF('Вводные данные'!$E$66="нет",G23*G27*(G25*G29),G23*G27*((G26*G29)))</f>
        <v>112320</v>
      </c>
      <c r="H22" s="13">
        <f>IF('Вводные данные'!$E$66="нет",H23*H27*(H25*H29),H23*H27*((H26*H29)))</f>
        <v>131039.99999999999</v>
      </c>
      <c r="I22" s="13">
        <f>IF('Вводные данные'!$E$66="нет",I23*I27*(I25*I29),I23*I27*((I26*I29)))</f>
        <v>131039.99999999999</v>
      </c>
      <c r="J22" s="13">
        <f>IF('Вводные данные'!$E$66="нет",J23*J27*(J25*J29),J23*J27*((J26*J29)))</f>
        <v>131039.99999999999</v>
      </c>
      <c r="K22" s="13">
        <f>IF('Вводные данные'!$E$66="нет",K23*K27*(K25*K29),K23*K27*((K26*K29)))</f>
        <v>131039.99999999999</v>
      </c>
      <c r="L22" s="13">
        <f>IF('Вводные данные'!$E$66="нет",L23*L27*(L25*L29),L23*L27*((L26*L29)))</f>
        <v>131039.99999999999</v>
      </c>
      <c r="M22" s="13">
        <f>IF('Вводные данные'!$E$66="нет",M23*M27*(M25*M29),M23*M27*((M26*M29)))</f>
        <v>131039.99999999999</v>
      </c>
      <c r="N22" s="13">
        <f>IF('Вводные данные'!$E$66="нет",N23*N27*(N25*N29),N23*N27*((N26*N29)))</f>
        <v>131039.99999999999</v>
      </c>
      <c r="O22" s="13">
        <f>IF('Вводные данные'!$E$66="нет",O23*O27*(O25*O29),O23*O27*((O26*O29)))</f>
        <v>131039.99999999999</v>
      </c>
      <c r="P22" s="13">
        <f>IF('Вводные данные'!$E$66="нет",P23*P27*(P25*P29),P23*P27*((P26*P29)))</f>
        <v>131039.99999999999</v>
      </c>
      <c r="Q22" s="13">
        <f>IF('Вводные данные'!$E$66="нет",Q23*Q27*(Q25*Q29),Q23*Q27*((Q26*Q29)))</f>
        <v>131039.99999999999</v>
      </c>
      <c r="R22" s="13">
        <f>IF('Вводные данные'!$E$66="нет",R23*R27*(R25*R29),R23*R27*((R26*R29)))</f>
        <v>158165.27999999997</v>
      </c>
      <c r="S22" s="13">
        <f>IF('Вводные данные'!$E$66="нет",S23*S27*(S25*S29),S23*S27*((S26*S29)))</f>
        <v>159087.91080000001</v>
      </c>
      <c r="T22" s="13">
        <f>IF('Вводные данные'!$E$66="нет",T23*T27*(T25*T29),T23*T27*((T26*T29)))</f>
        <v>160015.92361300002</v>
      </c>
      <c r="U22" s="13">
        <f>IF('Вводные данные'!$E$66="нет",U23*U27*(U25*U29),U23*U27*((U26*U29)))</f>
        <v>160949.34983407587</v>
      </c>
      <c r="V22" s="13">
        <f>IF('Вводные данные'!$E$66="нет",V23*V27*(V25*V29),V23*V27*((V26*V29)))</f>
        <v>161888.22104144134</v>
      </c>
      <c r="W22" s="13">
        <f>IF('Вводные данные'!$E$66="нет",W23*W27*(W25*W29),W23*W27*((W26*W29)))</f>
        <v>162832.56899751638</v>
      </c>
      <c r="X22" s="13">
        <f>IF('Вводные данные'!$E$66="нет",X23*X27*(X25*X29),X23*X27*((X26*X29)))</f>
        <v>163782.42565000185</v>
      </c>
      <c r="Y22" s="13">
        <f>IF('Вводные данные'!$E$66="нет",Y23*Y27*(Y25*Y29),Y23*Y27*((Y26*Y29)))</f>
        <v>164737.82313296024</v>
      </c>
      <c r="Z22" s="13">
        <f>IF('Вводные данные'!$E$66="нет",Z23*Z27*(Z25*Z29),Z23*Z27*((Z26*Z29)))</f>
        <v>165698.79376790251</v>
      </c>
      <c r="AA22" s="13">
        <f>IF('Вводные данные'!$E$66="нет",AA23*AA27*(AA25*AA29),AA23*AA27*((AA26*AA29)))</f>
        <v>166665.37006488198</v>
      </c>
      <c r="AB22" s="13">
        <f>IF('Вводные данные'!$E$66="нет",AB23*AB27*(AB25*AB29),AB23*AB27*((AB26*AB29)))</f>
        <v>167637.58472359375</v>
      </c>
      <c r="AC22" s="13">
        <f>IF('Вводные данные'!$E$66="нет",AC23*AC27*(AC25*AC29),AC23*AC27*((AC26*AC29)))</f>
        <v>168615.4706344814</v>
      </c>
      <c r="AD22" s="13">
        <f>IF('Вводные данные'!$E$66="нет",AD23*AD27*(AD25*AD29),AD23*AD27*((AD26*AD29)))</f>
        <v>169599.06087984922</v>
      </c>
      <c r="AE22" s="13">
        <f>IF('Вводные данные'!$E$66="нет",AE23*AE27*(AE25*AE29),AE23*AE27*((AE26*AE29)))</f>
        <v>170588.38873498168</v>
      </c>
      <c r="AF22" s="13">
        <f>IF('Вводные данные'!$E$66="нет",AF23*AF27*(AF25*AF29),AF23*AF27*((AF26*AF29)))</f>
        <v>171583.48766926912</v>
      </c>
      <c r="AG22" s="13">
        <f>IF('Вводные данные'!$E$66="нет",AG23*AG27*(AG25*AG29),AG23*AG27*((AG26*AG29)))</f>
        <v>172584.39134733984</v>
      </c>
      <c r="AH22" s="13">
        <f>IF('Вводные данные'!$E$66="нет",AH23*AH27*(AH25*AH29),AH23*AH27*((AH26*AH29)))</f>
        <v>173591.13363019933</v>
      </c>
      <c r="AI22" s="13">
        <f>IF('Вводные данные'!$E$66="нет",AI23*AI27*(AI25*AI29),AI23*AI27*((AI26*AI29)))</f>
        <v>174603.74857637551</v>
      </c>
      <c r="AJ22" s="13">
        <f>IF('Вводные данные'!$E$66="нет",AJ23*AJ27*(AJ25*AJ29),AJ23*AJ27*((AJ26*AJ29)))</f>
        <v>175622.27044307103</v>
      </c>
      <c r="AK22" s="13">
        <f>IF('Вводные данные'!$E$66="нет",AK23*AK27*(AK25*AK29),AK23*AK27*((AK26*AK29)))</f>
        <v>176646.7336873223</v>
      </c>
      <c r="AL22" s="13">
        <f>IF('Вводные данные'!$E$66="нет",AL23*AL27*(AL25*AL29),AL23*AL27*((AL26*AL29)))</f>
        <v>177677.17296716501</v>
      </c>
      <c r="AM22" s="13">
        <f>IF('Вводные данные'!$E$66="нет",AM23*AM27*(AM25*AM29),AM23*AM27*((AM26*AM29)))</f>
        <v>178713.62314280681</v>
      </c>
      <c r="AN22" s="13">
        <f>IF('Вводные данные'!$E$66="нет",AN23*AN27*(AN25*AN29),AN23*AN27*((AN26*AN29)))</f>
        <v>179756.11927780652</v>
      </c>
      <c r="AO22" s="13">
        <f>IF('Вводные данные'!$E$66="нет",AO23*AO27*(AO25*AO29),AO23*AO27*((AO26*AO29)))</f>
        <v>180804.69664026037</v>
      </c>
      <c r="AP22" s="13">
        <f>IF('Вводные данные'!$E$66="нет",AP23*AP27*(AP25*AP29),AP23*AP27*((AP26*AP29)))</f>
        <v>204591.81454199468</v>
      </c>
      <c r="AQ22" s="13">
        <f>IF('Вводные данные'!$E$66="нет",AQ23*AQ27*(AQ25*AQ29),AQ23*AQ27*((AQ26*AQ29)))</f>
        <v>205785.26679348966</v>
      </c>
      <c r="AR22" s="13">
        <f>IF('Вводные данные'!$E$66="нет",AR23*AR27*(AR25*AR29),AR23*AR27*((AR26*AR29)))</f>
        <v>206985.68084978504</v>
      </c>
      <c r="AS22" s="13">
        <f>IF('Вводные данные'!$E$66="нет",AS23*AS27*(AS25*AS29),AS23*AS27*((AS26*AS29)))</f>
        <v>208193.0973214088</v>
      </c>
      <c r="AT22" s="13">
        <f>IF('Вводные данные'!$E$66="нет",AT23*AT27*(AT25*AT29),AT23*AT27*((AT26*AT29)))</f>
        <v>209407.55705578369</v>
      </c>
      <c r="AU22" s="13">
        <f>IF('Вводные данные'!$E$66="нет",AU23*AU27*(AU25*AU29),AU23*AU27*((AU26*AU29)))</f>
        <v>210629.10113860911</v>
      </c>
      <c r="AV22" s="13">
        <f>IF('Вводные данные'!$E$66="нет",AV23*AV27*(AV25*AV29),AV23*AV27*((AV26*AV29)))</f>
        <v>211857.77089525099</v>
      </c>
      <c r="AW22" s="13">
        <f>IF('Вводные данные'!$E$66="нет",AW23*AW27*(AW25*AW29),AW23*AW27*((AW26*AW29)))</f>
        <v>213093.60789213996</v>
      </c>
      <c r="AX22" s="13">
        <f>IF('Вводные данные'!$E$66="нет",AX23*AX27*(AX25*AX29),AX23*AX27*((AX26*AX29)))</f>
        <v>214336.65393817742</v>
      </c>
      <c r="AY22" s="13">
        <f>IF('Вводные данные'!$E$66="нет",AY23*AY27*(AY25*AY29),AY23*AY27*((AY26*AY29)))</f>
        <v>215586.95108615016</v>
      </c>
      <c r="AZ22" s="13">
        <f>IF('Вводные данные'!$E$66="нет",AZ23*AZ27*(AZ25*AZ29),AZ23*AZ27*((AZ26*AZ29)))</f>
        <v>216844.54163415267</v>
      </c>
      <c r="BA22" s="13">
        <f>IF('Вводные данные'!$E$66="нет",BA23*BA27*(BA25*BA29),BA23*BA27*((BA26*BA29)))</f>
        <v>218109.46812701863</v>
      </c>
      <c r="BB22" s="13">
        <f>IF('Вводные данные'!$E$66="нет",BB23*BB27*(BB25*BB29),BB23*BB27*((BB26*BB29)))</f>
        <v>243757.52595306616</v>
      </c>
      <c r="BC22" s="13">
        <f>IF('Вводные данные'!$E$66="нет",BC23*BC27*(BC25*BC29),BC23*BC27*((BC26*BC29)))</f>
        <v>245179.44485445911</v>
      </c>
      <c r="BD22" s="13">
        <f>IF('Вводные данные'!$E$66="нет",BD23*BD27*(BD25*BD29),BD23*BD27*((BD26*BD29)))</f>
        <v>246609.6582827768</v>
      </c>
      <c r="BE22" s="13">
        <f>IF('Вводные данные'!$E$66="нет",BE23*BE27*(BE25*BE29),BE23*BE27*((BE26*BE29)))</f>
        <v>248048.21462275961</v>
      </c>
      <c r="BF22" s="13">
        <f>IF('Вводные данные'!$E$66="нет",BF23*BF27*(BF25*BF29),BF23*BF27*((BF26*BF29)))</f>
        <v>249495.16254139243</v>
      </c>
      <c r="BG22" s="13">
        <f>IF('Вводные данные'!$E$66="нет",BG23*BG27*(BG25*BG29),BG23*BG27*((BG26*BG29)))</f>
        <v>250950.55098955054</v>
      </c>
      <c r="BH22" s="13">
        <f>IF('Вводные данные'!$E$66="нет",BH23*BH27*(BH25*BH29),BH23*BH27*((BH26*BH29)))</f>
        <v>252414.42920365627</v>
      </c>
      <c r="BI22" s="13">
        <f>IF('Вводные данные'!$E$66="нет",BI23*BI27*(BI25*BI29),BI23*BI27*((BI26*BI29)))</f>
        <v>253886.84670734423</v>
      </c>
      <c r="BJ22" s="13">
        <f>IF('Вводные данные'!$E$66="нет",BJ23*BJ27*(BJ25*BJ29),BJ23*BJ27*((BJ26*BJ29)))</f>
        <v>255367.85331313708</v>
      </c>
      <c r="BK22" s="13">
        <f>IF('Вводные данные'!$E$66="нет",BK23*BK27*(BK25*BK29),BK23*BK27*((BK26*BK29)))</f>
        <v>256857.49912413041</v>
      </c>
      <c r="BL22" s="13">
        <f>IF('Вводные данные'!$E$66="нет",BL23*BL27*(BL25*BL29),BL23*BL27*((BL26*BL29)))</f>
        <v>258355.83453568784</v>
      </c>
      <c r="BM22" s="13">
        <f>IF('Вводные данные'!$E$66="нет",BM23*BM27*(BM25*BM29),BM23*BM27*((BM26*BM29)))</f>
        <v>259862.91023714596</v>
      </c>
      <c r="BN22" s="14"/>
      <c r="BO22" s="13">
        <f t="shared" ref="BO22:BO68" si="57">SUM(F22:BM22)</f>
        <v>11134374.990895372</v>
      </c>
      <c r="BP22" s="107">
        <f>SUM(F22:Q22)</f>
        <v>1516320</v>
      </c>
      <c r="BQ22" s="107">
        <f>SUM(R22:AC22)</f>
        <v>1960076.7222598554</v>
      </c>
      <c r="BR22" s="107">
        <f>SUM(AD22:AO22)</f>
        <v>2101770.8269964471</v>
      </c>
      <c r="BS22" s="107">
        <f>SUM(AP22:BA22)</f>
        <v>2535421.511273961</v>
      </c>
      <c r="BT22" s="107">
        <f>SUM(BB22:BM22)</f>
        <v>3020785.9303651061</v>
      </c>
      <c r="BU22" s="107">
        <f>SUM(BP22:BT22)</f>
        <v>11134374.99089537</v>
      </c>
    </row>
    <row r="23" spans="1:73" s="201" customFormat="1" outlineLevel="1" x14ac:dyDescent="0.2">
      <c r="C23" s="205" t="s">
        <v>26</v>
      </c>
      <c r="D23" s="202" t="s">
        <v>1</v>
      </c>
      <c r="E23" s="202"/>
      <c r="F23" s="218">
        <f>'Вводные данные'!E8</f>
        <v>2</v>
      </c>
      <c r="G23" s="218">
        <f>F23</f>
        <v>2</v>
      </c>
      <c r="H23" s="218">
        <f t="shared" ref="H23:BM23" si="58">G23</f>
        <v>2</v>
      </c>
      <c r="I23" s="218">
        <f t="shared" si="58"/>
        <v>2</v>
      </c>
      <c r="J23" s="218">
        <f t="shared" si="58"/>
        <v>2</v>
      </c>
      <c r="K23" s="218">
        <f t="shared" si="58"/>
        <v>2</v>
      </c>
      <c r="L23" s="218">
        <f t="shared" si="58"/>
        <v>2</v>
      </c>
      <c r="M23" s="218">
        <f t="shared" si="58"/>
        <v>2</v>
      </c>
      <c r="N23" s="218">
        <f t="shared" si="58"/>
        <v>2</v>
      </c>
      <c r="O23" s="218">
        <f t="shared" si="58"/>
        <v>2</v>
      </c>
      <c r="P23" s="218">
        <f t="shared" si="58"/>
        <v>2</v>
      </c>
      <c r="Q23" s="218">
        <f t="shared" si="58"/>
        <v>2</v>
      </c>
      <c r="R23" s="218">
        <f t="shared" si="58"/>
        <v>2</v>
      </c>
      <c r="S23" s="218">
        <f t="shared" si="58"/>
        <v>2</v>
      </c>
      <c r="T23" s="218">
        <f t="shared" si="58"/>
        <v>2</v>
      </c>
      <c r="U23" s="218">
        <f t="shared" si="58"/>
        <v>2</v>
      </c>
      <c r="V23" s="218">
        <f t="shared" si="58"/>
        <v>2</v>
      </c>
      <c r="W23" s="218">
        <f t="shared" si="58"/>
        <v>2</v>
      </c>
      <c r="X23" s="218">
        <f t="shared" si="58"/>
        <v>2</v>
      </c>
      <c r="Y23" s="218">
        <f t="shared" si="58"/>
        <v>2</v>
      </c>
      <c r="Z23" s="218">
        <f t="shared" si="58"/>
        <v>2</v>
      </c>
      <c r="AA23" s="218">
        <f t="shared" si="58"/>
        <v>2</v>
      </c>
      <c r="AB23" s="218">
        <f t="shared" si="58"/>
        <v>2</v>
      </c>
      <c r="AC23" s="218">
        <f t="shared" si="58"/>
        <v>2</v>
      </c>
      <c r="AD23" s="218">
        <f t="shared" si="58"/>
        <v>2</v>
      </c>
      <c r="AE23" s="218">
        <f t="shared" si="58"/>
        <v>2</v>
      </c>
      <c r="AF23" s="218">
        <f t="shared" si="58"/>
        <v>2</v>
      </c>
      <c r="AG23" s="218">
        <f t="shared" si="58"/>
        <v>2</v>
      </c>
      <c r="AH23" s="218">
        <f t="shared" si="58"/>
        <v>2</v>
      </c>
      <c r="AI23" s="218">
        <f t="shared" si="58"/>
        <v>2</v>
      </c>
      <c r="AJ23" s="218">
        <f t="shared" si="58"/>
        <v>2</v>
      </c>
      <c r="AK23" s="218">
        <f t="shared" si="58"/>
        <v>2</v>
      </c>
      <c r="AL23" s="218">
        <f t="shared" si="58"/>
        <v>2</v>
      </c>
      <c r="AM23" s="218">
        <f t="shared" si="58"/>
        <v>2</v>
      </c>
      <c r="AN23" s="218">
        <f t="shared" si="58"/>
        <v>2</v>
      </c>
      <c r="AO23" s="218">
        <f t="shared" si="58"/>
        <v>2</v>
      </c>
      <c r="AP23" s="218">
        <f t="shared" si="58"/>
        <v>2</v>
      </c>
      <c r="AQ23" s="218">
        <f t="shared" si="58"/>
        <v>2</v>
      </c>
      <c r="AR23" s="218">
        <f t="shared" si="58"/>
        <v>2</v>
      </c>
      <c r="AS23" s="218">
        <f t="shared" si="58"/>
        <v>2</v>
      </c>
      <c r="AT23" s="218">
        <f t="shared" si="58"/>
        <v>2</v>
      </c>
      <c r="AU23" s="218">
        <f t="shared" si="58"/>
        <v>2</v>
      </c>
      <c r="AV23" s="218">
        <f t="shared" si="58"/>
        <v>2</v>
      </c>
      <c r="AW23" s="218">
        <f t="shared" si="58"/>
        <v>2</v>
      </c>
      <c r="AX23" s="218">
        <f t="shared" si="58"/>
        <v>2</v>
      </c>
      <c r="AY23" s="218">
        <f t="shared" si="58"/>
        <v>2</v>
      </c>
      <c r="AZ23" s="218">
        <f t="shared" si="58"/>
        <v>2</v>
      </c>
      <c r="BA23" s="218">
        <f t="shared" si="58"/>
        <v>2</v>
      </c>
      <c r="BB23" s="218">
        <f t="shared" si="58"/>
        <v>2</v>
      </c>
      <c r="BC23" s="218">
        <f t="shared" si="58"/>
        <v>2</v>
      </c>
      <c r="BD23" s="218">
        <f t="shared" si="58"/>
        <v>2</v>
      </c>
      <c r="BE23" s="218">
        <f t="shared" si="58"/>
        <v>2</v>
      </c>
      <c r="BF23" s="218">
        <f t="shared" si="58"/>
        <v>2</v>
      </c>
      <c r="BG23" s="218">
        <f t="shared" si="58"/>
        <v>2</v>
      </c>
      <c r="BH23" s="218">
        <f t="shared" si="58"/>
        <v>2</v>
      </c>
      <c r="BI23" s="218">
        <f t="shared" si="58"/>
        <v>2</v>
      </c>
      <c r="BJ23" s="218">
        <f t="shared" si="58"/>
        <v>2</v>
      </c>
      <c r="BK23" s="218">
        <f t="shared" si="58"/>
        <v>2</v>
      </c>
      <c r="BL23" s="218">
        <f t="shared" si="58"/>
        <v>2</v>
      </c>
      <c r="BM23" s="218">
        <f t="shared" si="58"/>
        <v>2</v>
      </c>
    </row>
    <row r="24" spans="1:73" s="201" customFormat="1" outlineLevel="1" x14ac:dyDescent="0.2">
      <c r="C24" s="205" t="s">
        <v>21</v>
      </c>
      <c r="D24" s="202" t="s">
        <v>7</v>
      </c>
      <c r="E24" s="202"/>
      <c r="F24" s="220">
        <f>G24-5%</f>
        <v>0.25</v>
      </c>
      <c r="G24" s="220">
        <f>H24-5%</f>
        <v>0.3</v>
      </c>
      <c r="H24" s="220">
        <f>I24</f>
        <v>0.35</v>
      </c>
      <c r="I24" s="220">
        <f>'Вводные данные'!$E$15</f>
        <v>0.35</v>
      </c>
      <c r="J24" s="220">
        <f>'Вводные данные'!$E$15</f>
        <v>0.35</v>
      </c>
      <c r="K24" s="220">
        <f>'Вводные данные'!$E$15</f>
        <v>0.35</v>
      </c>
      <c r="L24" s="220">
        <f>'Вводные данные'!$E$15</f>
        <v>0.35</v>
      </c>
      <c r="M24" s="220">
        <f>'Вводные данные'!$E$15</f>
        <v>0.35</v>
      </c>
      <c r="N24" s="220">
        <f>'Вводные данные'!$E$15</f>
        <v>0.35</v>
      </c>
      <c r="O24" s="220">
        <f>'Вводные данные'!$E$15</f>
        <v>0.35</v>
      </c>
      <c r="P24" s="220">
        <f>'Вводные данные'!$E$15</f>
        <v>0.35</v>
      </c>
      <c r="Q24" s="221">
        <f>'Вводные данные'!$E$15</f>
        <v>0.35</v>
      </c>
      <c r="R24" s="220">
        <f>'Вводные данные'!$F$15</f>
        <v>0.4</v>
      </c>
      <c r="S24" s="220">
        <f>'Вводные данные'!$F$15</f>
        <v>0.4</v>
      </c>
      <c r="T24" s="220">
        <f>'Вводные данные'!$F$15</f>
        <v>0.4</v>
      </c>
      <c r="U24" s="220">
        <f>'Вводные данные'!$F$15</f>
        <v>0.4</v>
      </c>
      <c r="V24" s="220">
        <f>'Вводные данные'!$F$15</f>
        <v>0.4</v>
      </c>
      <c r="W24" s="220">
        <f>'Вводные данные'!$F$15</f>
        <v>0.4</v>
      </c>
      <c r="X24" s="220">
        <f>'Вводные данные'!$F$15</f>
        <v>0.4</v>
      </c>
      <c r="Y24" s="220">
        <f>'Вводные данные'!$F$15</f>
        <v>0.4</v>
      </c>
      <c r="Z24" s="220">
        <f>'Вводные данные'!$F$15</f>
        <v>0.4</v>
      </c>
      <c r="AA24" s="220">
        <f>'Вводные данные'!$F$15</f>
        <v>0.4</v>
      </c>
      <c r="AB24" s="220">
        <f>'Вводные данные'!$F$15</f>
        <v>0.4</v>
      </c>
      <c r="AC24" s="221">
        <f>'Вводные данные'!$F$15</f>
        <v>0.4</v>
      </c>
      <c r="AD24" s="220">
        <f>'Вводные данные'!$G$15</f>
        <v>0.4</v>
      </c>
      <c r="AE24" s="220">
        <f>'Вводные данные'!$G$15</f>
        <v>0.4</v>
      </c>
      <c r="AF24" s="220">
        <f>'Вводные данные'!$G$15</f>
        <v>0.4</v>
      </c>
      <c r="AG24" s="220">
        <f>'Вводные данные'!$G$15</f>
        <v>0.4</v>
      </c>
      <c r="AH24" s="220">
        <f>'Вводные данные'!$G$15</f>
        <v>0.4</v>
      </c>
      <c r="AI24" s="220">
        <f>'Вводные данные'!$G$15</f>
        <v>0.4</v>
      </c>
      <c r="AJ24" s="220">
        <f>'Вводные данные'!$G$15</f>
        <v>0.4</v>
      </c>
      <c r="AK24" s="220">
        <f>'Вводные данные'!$G$15</f>
        <v>0.4</v>
      </c>
      <c r="AL24" s="220">
        <f>'Вводные данные'!$G$15</f>
        <v>0.4</v>
      </c>
      <c r="AM24" s="220">
        <f>'Вводные данные'!$G$15</f>
        <v>0.4</v>
      </c>
      <c r="AN24" s="220">
        <f>'Вводные данные'!$G$15</f>
        <v>0.4</v>
      </c>
      <c r="AO24" s="221">
        <f>'Вводные данные'!$G$15</f>
        <v>0.4</v>
      </c>
      <c r="AP24" s="220">
        <f>'Вводные данные'!$H$15</f>
        <v>0.45</v>
      </c>
      <c r="AQ24" s="220">
        <f>'Вводные данные'!$H$15</f>
        <v>0.45</v>
      </c>
      <c r="AR24" s="220">
        <f>'Вводные данные'!$H$15</f>
        <v>0.45</v>
      </c>
      <c r="AS24" s="220">
        <f>'Вводные данные'!$H$15</f>
        <v>0.45</v>
      </c>
      <c r="AT24" s="220">
        <f>'Вводные данные'!$H$15</f>
        <v>0.45</v>
      </c>
      <c r="AU24" s="220">
        <f>'Вводные данные'!$H$15</f>
        <v>0.45</v>
      </c>
      <c r="AV24" s="220">
        <f>'Вводные данные'!$H$15</f>
        <v>0.45</v>
      </c>
      <c r="AW24" s="220">
        <f>'Вводные данные'!$H$15</f>
        <v>0.45</v>
      </c>
      <c r="AX24" s="220">
        <f>'Вводные данные'!$H$15</f>
        <v>0.45</v>
      </c>
      <c r="AY24" s="220">
        <f>'Вводные данные'!$H$15</f>
        <v>0.45</v>
      </c>
      <c r="AZ24" s="220">
        <f>'Вводные данные'!$H$15</f>
        <v>0.45</v>
      </c>
      <c r="BA24" s="221">
        <f>'Вводные данные'!$H$15</f>
        <v>0.45</v>
      </c>
      <c r="BB24" s="220">
        <f>'Вводные данные'!$I$15</f>
        <v>0.5</v>
      </c>
      <c r="BC24" s="220">
        <f>'Вводные данные'!$I$15</f>
        <v>0.5</v>
      </c>
      <c r="BD24" s="220">
        <f>'Вводные данные'!$I$15</f>
        <v>0.5</v>
      </c>
      <c r="BE24" s="220">
        <f>'Вводные данные'!$I$15</f>
        <v>0.5</v>
      </c>
      <c r="BF24" s="220">
        <f>'Вводные данные'!$I$15</f>
        <v>0.5</v>
      </c>
      <c r="BG24" s="220">
        <f>'Вводные данные'!$I$15</f>
        <v>0.5</v>
      </c>
      <c r="BH24" s="220">
        <f>'Вводные данные'!$I$15</f>
        <v>0.5</v>
      </c>
      <c r="BI24" s="220">
        <f>'Вводные данные'!$I$15</f>
        <v>0.5</v>
      </c>
      <c r="BJ24" s="220">
        <f>'Вводные данные'!$I$15</f>
        <v>0.5</v>
      </c>
      <c r="BK24" s="220">
        <f>'Вводные данные'!$I$15</f>
        <v>0.5</v>
      </c>
      <c r="BL24" s="220">
        <f>'Вводные данные'!$I$15</f>
        <v>0.5</v>
      </c>
      <c r="BM24" s="220">
        <f>'Вводные данные'!$I$15</f>
        <v>0.5</v>
      </c>
      <c r="BN24" s="222"/>
      <c r="BO24" s="223"/>
    </row>
    <row r="25" spans="1:73" s="201" customFormat="1" outlineLevel="1" x14ac:dyDescent="0.2">
      <c r="C25" s="205" t="s">
        <v>11</v>
      </c>
      <c r="D25" s="202" t="s">
        <v>25</v>
      </c>
      <c r="E25" s="202"/>
      <c r="F25" s="201">
        <f>'Вводные данные'!$E$18</f>
        <v>260</v>
      </c>
      <c r="G25" s="201">
        <f>'Вводные данные'!$E$18</f>
        <v>260</v>
      </c>
      <c r="H25" s="201">
        <f>'Вводные данные'!$E$18</f>
        <v>260</v>
      </c>
      <c r="I25" s="201">
        <f>'Вводные данные'!$E$18</f>
        <v>260</v>
      </c>
      <c r="J25" s="201">
        <f>'Вводные данные'!$E$18</f>
        <v>260</v>
      </c>
      <c r="K25" s="201">
        <f>'Вводные данные'!$E$18</f>
        <v>260</v>
      </c>
      <c r="L25" s="201">
        <f>'Вводные данные'!$E$18</f>
        <v>260</v>
      </c>
      <c r="M25" s="201">
        <f>'Вводные данные'!$E$18</f>
        <v>260</v>
      </c>
      <c r="N25" s="201">
        <f>'Вводные данные'!$E$18</f>
        <v>260</v>
      </c>
      <c r="O25" s="201">
        <f>'Вводные данные'!$E$18</f>
        <v>260</v>
      </c>
      <c r="P25" s="201">
        <f>'Вводные данные'!$E$18</f>
        <v>260</v>
      </c>
      <c r="Q25" s="201">
        <f>'Вводные данные'!$E$18</f>
        <v>260</v>
      </c>
      <c r="R25" s="201">
        <f>'Вводные данные'!$E$18</f>
        <v>260</v>
      </c>
      <c r="S25" s="201">
        <f>'Вводные данные'!$E$18</f>
        <v>260</v>
      </c>
      <c r="T25" s="201">
        <f>'Вводные данные'!$E$18</f>
        <v>260</v>
      </c>
      <c r="U25" s="201">
        <f>'Вводные данные'!$E$18</f>
        <v>260</v>
      </c>
      <c r="V25" s="201">
        <f>'Вводные данные'!$E$18</f>
        <v>260</v>
      </c>
      <c r="W25" s="201">
        <f>'Вводные данные'!$E$18</f>
        <v>260</v>
      </c>
      <c r="X25" s="201">
        <f>'Вводные данные'!$E$18</f>
        <v>260</v>
      </c>
      <c r="Y25" s="201">
        <f>'Вводные данные'!$E$18</f>
        <v>260</v>
      </c>
      <c r="Z25" s="201">
        <f>'Вводные данные'!$E$18</f>
        <v>260</v>
      </c>
      <c r="AA25" s="201">
        <f>'Вводные данные'!$E$18</f>
        <v>260</v>
      </c>
      <c r="AB25" s="201">
        <f>'Вводные данные'!$E$18</f>
        <v>260</v>
      </c>
      <c r="AC25" s="201">
        <f>'Вводные данные'!$E$18</f>
        <v>260</v>
      </c>
      <c r="AD25" s="201">
        <f>'Вводные данные'!$E$18</f>
        <v>260</v>
      </c>
      <c r="AE25" s="201">
        <f>'Вводные данные'!$E$18</f>
        <v>260</v>
      </c>
      <c r="AF25" s="201">
        <f>'Вводные данные'!$E$18</f>
        <v>260</v>
      </c>
      <c r="AG25" s="201">
        <f>'Вводные данные'!$E$18</f>
        <v>260</v>
      </c>
      <c r="AH25" s="201">
        <f>'Вводные данные'!$E$18</f>
        <v>260</v>
      </c>
      <c r="AI25" s="201">
        <f>'Вводные данные'!$E$18</f>
        <v>260</v>
      </c>
      <c r="AJ25" s="201">
        <f>'Вводные данные'!$E$18</f>
        <v>260</v>
      </c>
      <c r="AK25" s="201">
        <f>'Вводные данные'!$E$18</f>
        <v>260</v>
      </c>
      <c r="AL25" s="201">
        <f>'Вводные данные'!$E$18</f>
        <v>260</v>
      </c>
      <c r="AM25" s="201">
        <f>'Вводные данные'!$E$18</f>
        <v>260</v>
      </c>
      <c r="AN25" s="201">
        <f>'Вводные данные'!$E$18</f>
        <v>260</v>
      </c>
      <c r="AO25" s="201">
        <f>'Вводные данные'!$E$18</f>
        <v>260</v>
      </c>
      <c r="AP25" s="201">
        <f>'Вводные данные'!$E$18</f>
        <v>260</v>
      </c>
      <c r="AQ25" s="201">
        <f>'Вводные данные'!$E$18</f>
        <v>260</v>
      </c>
      <c r="AR25" s="201">
        <f>'Вводные данные'!$E$18</f>
        <v>260</v>
      </c>
      <c r="AS25" s="201">
        <f>'Вводные данные'!$E$18</f>
        <v>260</v>
      </c>
      <c r="AT25" s="201">
        <f>'Вводные данные'!$E$18</f>
        <v>260</v>
      </c>
      <c r="AU25" s="201">
        <f>'Вводные данные'!$E$18</f>
        <v>260</v>
      </c>
      <c r="AV25" s="201">
        <f>'Вводные данные'!$E$18</f>
        <v>260</v>
      </c>
      <c r="AW25" s="201">
        <f>'Вводные данные'!$E$18</f>
        <v>260</v>
      </c>
      <c r="AX25" s="201">
        <f>'Вводные данные'!$E$18</f>
        <v>260</v>
      </c>
      <c r="AY25" s="201">
        <f>'Вводные данные'!$E$18</f>
        <v>260</v>
      </c>
      <c r="AZ25" s="201">
        <f>'Вводные данные'!$E$18</f>
        <v>260</v>
      </c>
      <c r="BA25" s="201">
        <f>'Вводные данные'!$E$18</f>
        <v>260</v>
      </c>
      <c r="BB25" s="201">
        <f>'Вводные данные'!$E$18</f>
        <v>260</v>
      </c>
      <c r="BC25" s="201">
        <f>'Вводные данные'!$E$18</f>
        <v>260</v>
      </c>
      <c r="BD25" s="201">
        <f>'Вводные данные'!$E$18</f>
        <v>260</v>
      </c>
      <c r="BE25" s="201">
        <f>'Вводные данные'!$E$18</f>
        <v>260</v>
      </c>
      <c r="BF25" s="201">
        <f>'Вводные данные'!$E$18</f>
        <v>260</v>
      </c>
      <c r="BG25" s="201">
        <f>'Вводные данные'!$E$18</f>
        <v>260</v>
      </c>
      <c r="BH25" s="201">
        <f>'Вводные данные'!$E$18</f>
        <v>260</v>
      </c>
      <c r="BI25" s="201">
        <f>'Вводные данные'!$E$18</f>
        <v>260</v>
      </c>
      <c r="BJ25" s="201">
        <f>'Вводные данные'!$E$18</f>
        <v>260</v>
      </c>
      <c r="BK25" s="201">
        <f>'Вводные данные'!$E$18</f>
        <v>260</v>
      </c>
      <c r="BL25" s="201">
        <f>'Вводные данные'!$E$18</f>
        <v>260</v>
      </c>
      <c r="BM25" s="201">
        <f>'Вводные данные'!$E$18</f>
        <v>260</v>
      </c>
    </row>
    <row r="26" spans="1:73" s="201" customFormat="1" outlineLevel="1" x14ac:dyDescent="0.2">
      <c r="C26" s="205" t="s">
        <v>81</v>
      </c>
      <c r="D26" s="202" t="s">
        <v>25</v>
      </c>
      <c r="E26" s="202"/>
      <c r="F26" s="224">
        <f t="shared" ref="F26:AK26" si="59">F25*F8</f>
        <v>260</v>
      </c>
      <c r="G26" s="224">
        <f t="shared" si="59"/>
        <v>260</v>
      </c>
      <c r="H26" s="224">
        <f t="shared" si="59"/>
        <v>260</v>
      </c>
      <c r="I26" s="224">
        <f t="shared" si="59"/>
        <v>260</v>
      </c>
      <c r="J26" s="224">
        <f t="shared" si="59"/>
        <v>260</v>
      </c>
      <c r="K26" s="224">
        <f t="shared" si="59"/>
        <v>260</v>
      </c>
      <c r="L26" s="224">
        <f t="shared" si="59"/>
        <v>260</v>
      </c>
      <c r="M26" s="224">
        <f t="shared" si="59"/>
        <v>260</v>
      </c>
      <c r="N26" s="224">
        <f t="shared" si="59"/>
        <v>260</v>
      </c>
      <c r="O26" s="224">
        <f t="shared" si="59"/>
        <v>260</v>
      </c>
      <c r="P26" s="224">
        <f t="shared" si="59"/>
        <v>260</v>
      </c>
      <c r="Q26" s="224">
        <f t="shared" si="59"/>
        <v>260</v>
      </c>
      <c r="R26" s="224">
        <f t="shared" si="59"/>
        <v>261.51666666666665</v>
      </c>
      <c r="S26" s="224">
        <f t="shared" si="59"/>
        <v>263.04218055555555</v>
      </c>
      <c r="T26" s="224">
        <f t="shared" si="59"/>
        <v>264.57659327546298</v>
      </c>
      <c r="U26" s="224">
        <f t="shared" si="59"/>
        <v>266.11995673623653</v>
      </c>
      <c r="V26" s="224">
        <f t="shared" si="59"/>
        <v>267.67232315053127</v>
      </c>
      <c r="W26" s="224">
        <f t="shared" si="59"/>
        <v>269.23374503557602</v>
      </c>
      <c r="X26" s="224">
        <f t="shared" si="59"/>
        <v>270.80427521495017</v>
      </c>
      <c r="Y26" s="224">
        <f t="shared" si="59"/>
        <v>272.38396682037074</v>
      </c>
      <c r="Z26" s="224">
        <f t="shared" si="59"/>
        <v>273.97287329348961</v>
      </c>
      <c r="AA26" s="224">
        <f t="shared" si="59"/>
        <v>275.57104838770164</v>
      </c>
      <c r="AB26" s="224">
        <f t="shared" si="59"/>
        <v>277.17854616996323</v>
      </c>
      <c r="AC26" s="224">
        <f t="shared" si="59"/>
        <v>278.79542102262138</v>
      </c>
      <c r="AD26" s="224">
        <f t="shared" si="59"/>
        <v>280.42172764525333</v>
      </c>
      <c r="AE26" s="224">
        <f t="shared" si="59"/>
        <v>282.05752105651732</v>
      </c>
      <c r="AF26" s="224">
        <f t="shared" si="59"/>
        <v>283.7028565960137</v>
      </c>
      <c r="AG26" s="224">
        <f t="shared" si="59"/>
        <v>285.35778992615712</v>
      </c>
      <c r="AH26" s="224">
        <f t="shared" si="59"/>
        <v>287.02237703405973</v>
      </c>
      <c r="AI26" s="224">
        <f t="shared" si="59"/>
        <v>288.69667423342509</v>
      </c>
      <c r="AJ26" s="224">
        <f t="shared" si="59"/>
        <v>290.3807381664534</v>
      </c>
      <c r="AK26" s="224">
        <f t="shared" si="59"/>
        <v>292.07462580575776</v>
      </c>
      <c r="AL26" s="224">
        <f t="shared" ref="AL26:BM26" si="60">AL25*AL8</f>
        <v>293.77839445629132</v>
      </c>
      <c r="AM26" s="224">
        <f t="shared" si="60"/>
        <v>295.49210175728638</v>
      </c>
      <c r="AN26" s="224">
        <f t="shared" si="60"/>
        <v>297.21580568420387</v>
      </c>
      <c r="AO26" s="224">
        <f t="shared" si="60"/>
        <v>298.94956455069507</v>
      </c>
      <c r="AP26" s="224">
        <f t="shared" si="60"/>
        <v>300.6934370105742</v>
      </c>
      <c r="AQ26" s="224">
        <f t="shared" si="60"/>
        <v>302.44748205980255</v>
      </c>
      <c r="AR26" s="224">
        <f t="shared" si="60"/>
        <v>304.21175903848479</v>
      </c>
      <c r="AS26" s="224">
        <f t="shared" si="60"/>
        <v>305.98632763287594</v>
      </c>
      <c r="AT26" s="224">
        <f t="shared" si="60"/>
        <v>307.77124787740104</v>
      </c>
      <c r="AU26" s="224">
        <f t="shared" si="60"/>
        <v>309.56658015668592</v>
      </c>
      <c r="AV26" s="224">
        <f t="shared" si="60"/>
        <v>311.3723852075999</v>
      </c>
      <c r="AW26" s="224">
        <f t="shared" si="60"/>
        <v>313.18872412131094</v>
      </c>
      <c r="AX26" s="224">
        <f t="shared" si="60"/>
        <v>315.01565834535188</v>
      </c>
      <c r="AY26" s="224">
        <f t="shared" si="60"/>
        <v>316.85324968569978</v>
      </c>
      <c r="AZ26" s="224">
        <f t="shared" si="60"/>
        <v>318.70156030886636</v>
      </c>
      <c r="BA26" s="224">
        <f t="shared" si="60"/>
        <v>320.56065274400146</v>
      </c>
      <c r="BB26" s="224">
        <f t="shared" si="60"/>
        <v>322.43058988500815</v>
      </c>
      <c r="BC26" s="224">
        <f t="shared" si="60"/>
        <v>324.31143499267074</v>
      </c>
      <c r="BD26" s="224">
        <f t="shared" si="60"/>
        <v>326.20325169679467</v>
      </c>
      <c r="BE26" s="224">
        <f t="shared" si="60"/>
        <v>328.10610399835929</v>
      </c>
      <c r="BF26" s="224">
        <f t="shared" si="60"/>
        <v>330.02005627168307</v>
      </c>
      <c r="BG26" s="224">
        <f t="shared" si="60"/>
        <v>331.94517326660122</v>
      </c>
      <c r="BH26" s="224">
        <f t="shared" si="60"/>
        <v>333.88152011065642</v>
      </c>
      <c r="BI26" s="224">
        <f t="shared" si="60"/>
        <v>335.8291623113019</v>
      </c>
      <c r="BJ26" s="224">
        <f t="shared" si="60"/>
        <v>337.78816575811783</v>
      </c>
      <c r="BK26" s="224">
        <f t="shared" si="60"/>
        <v>339.75859672504021</v>
      </c>
      <c r="BL26" s="224">
        <f t="shared" si="60"/>
        <v>341.74052187260293</v>
      </c>
      <c r="BM26" s="224">
        <f t="shared" si="60"/>
        <v>343.73400825019309</v>
      </c>
      <c r="BO26" s="224"/>
    </row>
    <row r="27" spans="1:73" s="3" customFormat="1" outlineLevel="1" x14ac:dyDescent="0.2">
      <c r="C27" s="15" t="s">
        <v>88</v>
      </c>
      <c r="D27" s="16" t="s">
        <v>89</v>
      </c>
      <c r="E27" s="16"/>
      <c r="F27" s="111">
        <f t="shared" ref="F27:AK27" si="61">F9*F24</f>
        <v>180</v>
      </c>
      <c r="G27" s="111">
        <f t="shared" si="61"/>
        <v>216</v>
      </c>
      <c r="H27" s="111">
        <f t="shared" si="61"/>
        <v>251.99999999999997</v>
      </c>
      <c r="I27" s="111">
        <f t="shared" si="61"/>
        <v>251.99999999999997</v>
      </c>
      <c r="J27" s="111">
        <f t="shared" si="61"/>
        <v>251.99999999999997</v>
      </c>
      <c r="K27" s="111">
        <f t="shared" si="61"/>
        <v>251.99999999999997</v>
      </c>
      <c r="L27" s="111">
        <f t="shared" si="61"/>
        <v>251.99999999999997</v>
      </c>
      <c r="M27" s="111">
        <f t="shared" si="61"/>
        <v>251.99999999999997</v>
      </c>
      <c r="N27" s="111">
        <f t="shared" si="61"/>
        <v>251.99999999999997</v>
      </c>
      <c r="O27" s="111">
        <f t="shared" si="61"/>
        <v>251.99999999999997</v>
      </c>
      <c r="P27" s="111">
        <f t="shared" si="61"/>
        <v>251.99999999999997</v>
      </c>
      <c r="Q27" s="112">
        <f t="shared" si="61"/>
        <v>251.99999999999997</v>
      </c>
      <c r="R27" s="111">
        <f t="shared" si="61"/>
        <v>288</v>
      </c>
      <c r="S27" s="111">
        <f t="shared" si="61"/>
        <v>288</v>
      </c>
      <c r="T27" s="111">
        <f t="shared" si="61"/>
        <v>288</v>
      </c>
      <c r="U27" s="111">
        <f t="shared" si="61"/>
        <v>288</v>
      </c>
      <c r="V27" s="111">
        <f t="shared" si="61"/>
        <v>288</v>
      </c>
      <c r="W27" s="111">
        <f t="shared" si="61"/>
        <v>288</v>
      </c>
      <c r="X27" s="111">
        <f t="shared" si="61"/>
        <v>288</v>
      </c>
      <c r="Y27" s="111">
        <f t="shared" si="61"/>
        <v>288</v>
      </c>
      <c r="Z27" s="111">
        <f t="shared" si="61"/>
        <v>288</v>
      </c>
      <c r="AA27" s="111">
        <f t="shared" si="61"/>
        <v>288</v>
      </c>
      <c r="AB27" s="111">
        <f t="shared" si="61"/>
        <v>288</v>
      </c>
      <c r="AC27" s="112">
        <f t="shared" si="61"/>
        <v>288</v>
      </c>
      <c r="AD27" s="111">
        <f t="shared" si="61"/>
        <v>288</v>
      </c>
      <c r="AE27" s="111">
        <f t="shared" si="61"/>
        <v>288</v>
      </c>
      <c r="AF27" s="111">
        <f t="shared" si="61"/>
        <v>288</v>
      </c>
      <c r="AG27" s="111">
        <f t="shared" si="61"/>
        <v>288</v>
      </c>
      <c r="AH27" s="111">
        <f t="shared" si="61"/>
        <v>288</v>
      </c>
      <c r="AI27" s="111">
        <f t="shared" si="61"/>
        <v>288</v>
      </c>
      <c r="AJ27" s="111">
        <f t="shared" si="61"/>
        <v>288</v>
      </c>
      <c r="AK27" s="111">
        <f t="shared" si="61"/>
        <v>288</v>
      </c>
      <c r="AL27" s="111">
        <f t="shared" ref="AL27:BM27" si="62">AL9*AL24</f>
        <v>288</v>
      </c>
      <c r="AM27" s="111">
        <f t="shared" si="62"/>
        <v>288</v>
      </c>
      <c r="AN27" s="111">
        <f t="shared" si="62"/>
        <v>288</v>
      </c>
      <c r="AO27" s="112">
        <f t="shared" si="62"/>
        <v>288</v>
      </c>
      <c r="AP27" s="111">
        <f t="shared" si="62"/>
        <v>324</v>
      </c>
      <c r="AQ27" s="111">
        <f t="shared" si="62"/>
        <v>324</v>
      </c>
      <c r="AR27" s="111">
        <f t="shared" si="62"/>
        <v>324</v>
      </c>
      <c r="AS27" s="111">
        <f t="shared" si="62"/>
        <v>324</v>
      </c>
      <c r="AT27" s="111">
        <f t="shared" si="62"/>
        <v>324</v>
      </c>
      <c r="AU27" s="111">
        <f t="shared" si="62"/>
        <v>324</v>
      </c>
      <c r="AV27" s="111">
        <f t="shared" si="62"/>
        <v>324</v>
      </c>
      <c r="AW27" s="111">
        <f t="shared" si="62"/>
        <v>324</v>
      </c>
      <c r="AX27" s="111">
        <f t="shared" si="62"/>
        <v>324</v>
      </c>
      <c r="AY27" s="111">
        <f t="shared" si="62"/>
        <v>324</v>
      </c>
      <c r="AZ27" s="111">
        <f t="shared" si="62"/>
        <v>324</v>
      </c>
      <c r="BA27" s="112">
        <f t="shared" si="62"/>
        <v>324</v>
      </c>
      <c r="BB27" s="111">
        <f t="shared" si="62"/>
        <v>360</v>
      </c>
      <c r="BC27" s="111">
        <f t="shared" si="62"/>
        <v>360</v>
      </c>
      <c r="BD27" s="111">
        <f t="shared" si="62"/>
        <v>360</v>
      </c>
      <c r="BE27" s="111">
        <f t="shared" si="62"/>
        <v>360</v>
      </c>
      <c r="BF27" s="111">
        <f t="shared" si="62"/>
        <v>360</v>
      </c>
      <c r="BG27" s="111">
        <f t="shared" si="62"/>
        <v>360</v>
      </c>
      <c r="BH27" s="111">
        <f t="shared" si="62"/>
        <v>360</v>
      </c>
      <c r="BI27" s="111">
        <f t="shared" si="62"/>
        <v>360</v>
      </c>
      <c r="BJ27" s="111">
        <f t="shared" si="62"/>
        <v>360</v>
      </c>
      <c r="BK27" s="111">
        <f t="shared" si="62"/>
        <v>360</v>
      </c>
      <c r="BL27" s="111">
        <f t="shared" si="62"/>
        <v>360</v>
      </c>
      <c r="BM27" s="111">
        <f t="shared" si="62"/>
        <v>360</v>
      </c>
      <c r="BO27" s="200"/>
    </row>
    <row r="28" spans="1:73" s="3" customFormat="1" outlineLevel="1" x14ac:dyDescent="0.2">
      <c r="C28" s="15" t="s">
        <v>85</v>
      </c>
      <c r="D28" s="16"/>
      <c r="E28" s="16"/>
      <c r="F28" s="108">
        <f>'Вводные данные'!$E$71</f>
        <v>0</v>
      </c>
      <c r="G28" s="108">
        <f>'Вводные данные'!$E$71</f>
        <v>0</v>
      </c>
      <c r="H28" s="108">
        <f>'Вводные данные'!$E$71</f>
        <v>0</v>
      </c>
      <c r="I28" s="108">
        <f>'Вводные данные'!$E$71</f>
        <v>0</v>
      </c>
      <c r="J28" s="108">
        <f>'Вводные данные'!$E$71</f>
        <v>0</v>
      </c>
      <c r="K28" s="108">
        <f>'Вводные данные'!$E$71</f>
        <v>0</v>
      </c>
      <c r="L28" s="108">
        <f>'Вводные данные'!$E$71</f>
        <v>0</v>
      </c>
      <c r="M28" s="108">
        <f>'Вводные данные'!$E$71</f>
        <v>0</v>
      </c>
      <c r="N28" s="108">
        <f>'Вводные данные'!$E$71</f>
        <v>0</v>
      </c>
      <c r="O28" s="108">
        <f>'Вводные данные'!$E$71</f>
        <v>0</v>
      </c>
      <c r="P28" s="108">
        <f>'Вводные данные'!$E$71</f>
        <v>0</v>
      </c>
      <c r="Q28" s="108">
        <f>'Вводные данные'!$E$71</f>
        <v>0</v>
      </c>
      <c r="R28" s="108">
        <f>'Вводные данные'!$F$71</f>
        <v>0.05</v>
      </c>
      <c r="S28" s="108">
        <f>'Вводные данные'!$F$71</f>
        <v>0.05</v>
      </c>
      <c r="T28" s="108">
        <f>'Вводные данные'!$F$71</f>
        <v>0.05</v>
      </c>
      <c r="U28" s="108">
        <f>'Вводные данные'!$F$71</f>
        <v>0.05</v>
      </c>
      <c r="V28" s="108">
        <f>'Вводные данные'!$F$71</f>
        <v>0.05</v>
      </c>
      <c r="W28" s="108">
        <f>'Вводные данные'!$F$71</f>
        <v>0.05</v>
      </c>
      <c r="X28" s="108">
        <f>'Вводные данные'!$F$71</f>
        <v>0.05</v>
      </c>
      <c r="Y28" s="108">
        <f>'Вводные данные'!$F$71</f>
        <v>0.05</v>
      </c>
      <c r="Z28" s="108">
        <f>'Вводные данные'!$F$71</f>
        <v>0.05</v>
      </c>
      <c r="AA28" s="108">
        <f>'Вводные данные'!$F$71</f>
        <v>0.05</v>
      </c>
      <c r="AB28" s="108">
        <f>'Вводные данные'!$F$71</f>
        <v>0.05</v>
      </c>
      <c r="AC28" s="108">
        <f>'Вводные данные'!$F$71</f>
        <v>0.05</v>
      </c>
      <c r="AD28" s="108">
        <f>'Вводные данные'!$G$71</f>
        <v>0.05</v>
      </c>
      <c r="AE28" s="108">
        <f>'Вводные данные'!$G$71</f>
        <v>0.05</v>
      </c>
      <c r="AF28" s="108">
        <f>'Вводные данные'!$G$71</f>
        <v>0.05</v>
      </c>
      <c r="AG28" s="108">
        <f>'Вводные данные'!$G$71</f>
        <v>0.05</v>
      </c>
      <c r="AH28" s="108">
        <f>'Вводные данные'!$G$71</f>
        <v>0.05</v>
      </c>
      <c r="AI28" s="108">
        <f>'Вводные данные'!$G$71</f>
        <v>0.05</v>
      </c>
      <c r="AJ28" s="108">
        <f>'Вводные данные'!$G$71</f>
        <v>0.05</v>
      </c>
      <c r="AK28" s="108">
        <f>'Вводные данные'!$G$71</f>
        <v>0.05</v>
      </c>
      <c r="AL28" s="108">
        <f>'Вводные данные'!$G$71</f>
        <v>0.05</v>
      </c>
      <c r="AM28" s="108">
        <f>'Вводные данные'!$G$71</f>
        <v>0.05</v>
      </c>
      <c r="AN28" s="108">
        <f>'Вводные данные'!$G$71</f>
        <v>0.05</v>
      </c>
      <c r="AO28" s="108">
        <f>'Вводные данные'!$G$71</f>
        <v>0.05</v>
      </c>
      <c r="AP28" s="108">
        <f>'Вводные данные'!$H$71</f>
        <v>0.05</v>
      </c>
      <c r="AQ28" s="108">
        <f>'Вводные данные'!$H$71</f>
        <v>0.05</v>
      </c>
      <c r="AR28" s="108">
        <f>'Вводные данные'!$H$71</f>
        <v>0.05</v>
      </c>
      <c r="AS28" s="108">
        <f>'Вводные данные'!$H$71</f>
        <v>0.05</v>
      </c>
      <c r="AT28" s="108">
        <f>'Вводные данные'!$H$71</f>
        <v>0.05</v>
      </c>
      <c r="AU28" s="108">
        <f>'Вводные данные'!$H$71</f>
        <v>0.05</v>
      </c>
      <c r="AV28" s="108">
        <f>'Вводные данные'!$H$71</f>
        <v>0.05</v>
      </c>
      <c r="AW28" s="108">
        <f>'Вводные данные'!$H$71</f>
        <v>0.05</v>
      </c>
      <c r="AX28" s="108">
        <f>'Вводные данные'!$H$71</f>
        <v>0.05</v>
      </c>
      <c r="AY28" s="108">
        <f>'Вводные данные'!$H$71</f>
        <v>0.05</v>
      </c>
      <c r="AZ28" s="108">
        <f>'Вводные данные'!$H$71</f>
        <v>0.05</v>
      </c>
      <c r="BA28" s="108">
        <f>'Вводные данные'!$H$71</f>
        <v>0.05</v>
      </c>
      <c r="BB28" s="108">
        <f>'Вводные данные'!$I$71</f>
        <v>0.05</v>
      </c>
      <c r="BC28" s="108">
        <f>'Вводные данные'!$I$71</f>
        <v>0.05</v>
      </c>
      <c r="BD28" s="108">
        <f>'Вводные данные'!$I$71</f>
        <v>0.05</v>
      </c>
      <c r="BE28" s="108">
        <f>'Вводные данные'!$I$71</f>
        <v>0.05</v>
      </c>
      <c r="BF28" s="108">
        <f>'Вводные данные'!$I$71</f>
        <v>0.05</v>
      </c>
      <c r="BG28" s="108">
        <f>'Вводные данные'!$I$71</f>
        <v>0.05</v>
      </c>
      <c r="BH28" s="108">
        <f>'Вводные данные'!$I$71</f>
        <v>0.05</v>
      </c>
      <c r="BI28" s="108">
        <f>'Вводные данные'!$I$71</f>
        <v>0.05</v>
      </c>
      <c r="BJ28" s="108">
        <f>'Вводные данные'!$I$71</f>
        <v>0.05</v>
      </c>
      <c r="BK28" s="108">
        <f>'Вводные данные'!$I$71</f>
        <v>0.05</v>
      </c>
      <c r="BL28" s="108">
        <f>'Вводные данные'!$I$71</f>
        <v>0.05</v>
      </c>
      <c r="BM28" s="108">
        <f>'Вводные данные'!$I$71</f>
        <v>0.05</v>
      </c>
      <c r="BO28" s="109"/>
    </row>
    <row r="29" spans="1:73" s="3" customFormat="1" outlineLevel="1" x14ac:dyDescent="0.2">
      <c r="C29" s="15" t="s">
        <v>80</v>
      </c>
      <c r="D29" s="16" t="s">
        <v>7</v>
      </c>
      <c r="E29" s="16"/>
      <c r="F29" s="109">
        <f>100%*(F28+1)</f>
        <v>1</v>
      </c>
      <c r="G29" s="109">
        <f t="shared" ref="G29:BM29" si="63">100%*(G28+1)</f>
        <v>1</v>
      </c>
      <c r="H29" s="109">
        <f t="shared" si="63"/>
        <v>1</v>
      </c>
      <c r="I29" s="109">
        <f t="shared" si="63"/>
        <v>1</v>
      </c>
      <c r="J29" s="109">
        <f t="shared" si="63"/>
        <v>1</v>
      </c>
      <c r="K29" s="109">
        <f t="shared" si="63"/>
        <v>1</v>
      </c>
      <c r="L29" s="109">
        <f t="shared" si="63"/>
        <v>1</v>
      </c>
      <c r="M29" s="109">
        <f t="shared" si="63"/>
        <v>1</v>
      </c>
      <c r="N29" s="109">
        <f t="shared" si="63"/>
        <v>1</v>
      </c>
      <c r="O29" s="109">
        <f t="shared" si="63"/>
        <v>1</v>
      </c>
      <c r="P29" s="109">
        <f t="shared" si="63"/>
        <v>1</v>
      </c>
      <c r="Q29" s="109">
        <f t="shared" si="63"/>
        <v>1</v>
      </c>
      <c r="R29" s="109">
        <f t="shared" si="63"/>
        <v>1.05</v>
      </c>
      <c r="S29" s="109">
        <f t="shared" si="63"/>
        <v>1.05</v>
      </c>
      <c r="T29" s="109">
        <f t="shared" si="63"/>
        <v>1.05</v>
      </c>
      <c r="U29" s="109">
        <f t="shared" si="63"/>
        <v>1.05</v>
      </c>
      <c r="V29" s="109">
        <f t="shared" si="63"/>
        <v>1.05</v>
      </c>
      <c r="W29" s="109">
        <f t="shared" si="63"/>
        <v>1.05</v>
      </c>
      <c r="X29" s="109">
        <f t="shared" si="63"/>
        <v>1.05</v>
      </c>
      <c r="Y29" s="109">
        <f t="shared" si="63"/>
        <v>1.05</v>
      </c>
      <c r="Z29" s="109">
        <f t="shared" si="63"/>
        <v>1.05</v>
      </c>
      <c r="AA29" s="109">
        <f t="shared" si="63"/>
        <v>1.05</v>
      </c>
      <c r="AB29" s="109">
        <f t="shared" si="63"/>
        <v>1.05</v>
      </c>
      <c r="AC29" s="109">
        <f t="shared" si="63"/>
        <v>1.05</v>
      </c>
      <c r="AD29" s="109">
        <f t="shared" si="63"/>
        <v>1.05</v>
      </c>
      <c r="AE29" s="109">
        <f t="shared" si="63"/>
        <v>1.05</v>
      </c>
      <c r="AF29" s="109">
        <f t="shared" si="63"/>
        <v>1.05</v>
      </c>
      <c r="AG29" s="109">
        <f t="shared" si="63"/>
        <v>1.05</v>
      </c>
      <c r="AH29" s="109">
        <f t="shared" si="63"/>
        <v>1.05</v>
      </c>
      <c r="AI29" s="109">
        <f t="shared" si="63"/>
        <v>1.05</v>
      </c>
      <c r="AJ29" s="109">
        <f t="shared" si="63"/>
        <v>1.05</v>
      </c>
      <c r="AK29" s="109">
        <f t="shared" si="63"/>
        <v>1.05</v>
      </c>
      <c r="AL29" s="109">
        <f t="shared" si="63"/>
        <v>1.05</v>
      </c>
      <c r="AM29" s="109">
        <f t="shared" si="63"/>
        <v>1.05</v>
      </c>
      <c r="AN29" s="109">
        <f t="shared" si="63"/>
        <v>1.05</v>
      </c>
      <c r="AO29" s="109">
        <f t="shared" si="63"/>
        <v>1.05</v>
      </c>
      <c r="AP29" s="109">
        <f t="shared" si="63"/>
        <v>1.05</v>
      </c>
      <c r="AQ29" s="109">
        <f t="shared" si="63"/>
        <v>1.05</v>
      </c>
      <c r="AR29" s="109">
        <f t="shared" si="63"/>
        <v>1.05</v>
      </c>
      <c r="AS29" s="109">
        <f t="shared" si="63"/>
        <v>1.05</v>
      </c>
      <c r="AT29" s="109">
        <f t="shared" si="63"/>
        <v>1.05</v>
      </c>
      <c r="AU29" s="109">
        <f t="shared" si="63"/>
        <v>1.05</v>
      </c>
      <c r="AV29" s="109">
        <f t="shared" si="63"/>
        <v>1.05</v>
      </c>
      <c r="AW29" s="109">
        <f t="shared" si="63"/>
        <v>1.05</v>
      </c>
      <c r="AX29" s="109">
        <f t="shared" si="63"/>
        <v>1.05</v>
      </c>
      <c r="AY29" s="109">
        <f t="shared" si="63"/>
        <v>1.05</v>
      </c>
      <c r="AZ29" s="109">
        <f t="shared" si="63"/>
        <v>1.05</v>
      </c>
      <c r="BA29" s="109">
        <f t="shared" si="63"/>
        <v>1.05</v>
      </c>
      <c r="BB29" s="109">
        <f t="shared" si="63"/>
        <v>1.05</v>
      </c>
      <c r="BC29" s="109">
        <f t="shared" si="63"/>
        <v>1.05</v>
      </c>
      <c r="BD29" s="109">
        <f t="shared" si="63"/>
        <v>1.05</v>
      </c>
      <c r="BE29" s="109">
        <f t="shared" si="63"/>
        <v>1.05</v>
      </c>
      <c r="BF29" s="109">
        <f t="shared" si="63"/>
        <v>1.05</v>
      </c>
      <c r="BG29" s="109">
        <f t="shared" si="63"/>
        <v>1.05</v>
      </c>
      <c r="BH29" s="109">
        <f t="shared" si="63"/>
        <v>1.05</v>
      </c>
      <c r="BI29" s="109">
        <f t="shared" si="63"/>
        <v>1.05</v>
      </c>
      <c r="BJ29" s="109">
        <f t="shared" si="63"/>
        <v>1.05</v>
      </c>
      <c r="BK29" s="109">
        <f t="shared" si="63"/>
        <v>1.05</v>
      </c>
      <c r="BL29" s="109">
        <f t="shared" si="63"/>
        <v>1.05</v>
      </c>
      <c r="BM29" s="109">
        <f t="shared" si="63"/>
        <v>1.05</v>
      </c>
      <c r="BN29" s="109"/>
      <c r="BO29" s="109"/>
      <c r="BP29" s="109"/>
    </row>
    <row r="30" spans="1:73" s="3" customFormat="1" outlineLevel="1" x14ac:dyDescent="0.2">
      <c r="C30" s="15"/>
      <c r="D30" s="16"/>
      <c r="E30" s="16"/>
      <c r="F30" s="109"/>
      <c r="G30" s="109"/>
      <c r="H30" s="109"/>
      <c r="I30" s="109"/>
      <c r="J30" s="109"/>
      <c r="K30" s="109"/>
      <c r="L30" s="109"/>
      <c r="M30" s="109"/>
      <c r="N30" s="109"/>
      <c r="O30" s="109"/>
      <c r="P30" s="109"/>
      <c r="Q30" s="109"/>
      <c r="R30" s="109"/>
      <c r="S30" s="109"/>
      <c r="T30" s="109"/>
      <c r="U30" s="109"/>
      <c r="V30" s="109"/>
      <c r="W30" s="109"/>
      <c r="X30" s="109"/>
      <c r="Y30" s="109"/>
      <c r="Z30" s="109"/>
      <c r="AA30" s="109"/>
      <c r="AB30" s="109"/>
      <c r="AC30" s="109"/>
      <c r="AD30" s="109"/>
      <c r="AE30" s="109"/>
      <c r="AF30" s="109"/>
      <c r="AG30" s="109"/>
      <c r="AH30" s="109"/>
      <c r="AI30" s="109"/>
      <c r="AJ30" s="109"/>
      <c r="AK30" s="109"/>
      <c r="AL30" s="109"/>
      <c r="AM30" s="109"/>
      <c r="AN30" s="109"/>
      <c r="AO30" s="109"/>
      <c r="AP30" s="109"/>
      <c r="AQ30" s="109"/>
      <c r="AR30" s="109"/>
      <c r="AS30" s="109"/>
      <c r="AT30" s="109"/>
      <c r="AU30" s="109"/>
      <c r="AV30" s="109"/>
      <c r="AW30" s="109"/>
      <c r="AX30" s="109"/>
      <c r="AY30" s="109"/>
      <c r="AZ30" s="109"/>
      <c r="BA30" s="109"/>
      <c r="BB30" s="109"/>
      <c r="BC30" s="109"/>
      <c r="BD30" s="109"/>
      <c r="BE30" s="109"/>
      <c r="BF30" s="109"/>
      <c r="BG30" s="109"/>
      <c r="BH30" s="109"/>
      <c r="BI30" s="109"/>
      <c r="BJ30" s="109"/>
      <c r="BK30" s="109"/>
      <c r="BL30" s="109"/>
      <c r="BM30" s="109"/>
      <c r="BN30" s="109"/>
      <c r="BO30" s="109"/>
      <c r="BP30" s="109"/>
    </row>
    <row r="31" spans="1:73" s="1" customFormat="1" ht="15.75" outlineLevel="1" thickBot="1" x14ac:dyDescent="0.25">
      <c r="A31" s="5"/>
      <c r="B31" s="5"/>
      <c r="C31" s="6" t="s">
        <v>91</v>
      </c>
      <c r="D31" s="7"/>
      <c r="E31" s="7"/>
      <c r="F31" s="31">
        <f>F27*F23+F17*F13</f>
        <v>3060</v>
      </c>
      <c r="G31" s="31">
        <f t="shared" ref="G31:BM31" si="64">G27*G23+G17*G13</f>
        <v>3672</v>
      </c>
      <c r="H31" s="31">
        <f t="shared" si="64"/>
        <v>4283.9999999999991</v>
      </c>
      <c r="I31" s="31">
        <f t="shared" si="64"/>
        <v>4283.9999999999991</v>
      </c>
      <c r="J31" s="31">
        <f t="shared" si="64"/>
        <v>4283.9999999999991</v>
      </c>
      <c r="K31" s="31">
        <f t="shared" si="64"/>
        <v>4283.9999999999991</v>
      </c>
      <c r="L31" s="31">
        <f t="shared" si="64"/>
        <v>4283.9999999999991</v>
      </c>
      <c r="M31" s="31">
        <f t="shared" si="64"/>
        <v>4283.9999999999991</v>
      </c>
      <c r="N31" s="31">
        <f t="shared" si="64"/>
        <v>4283.9999999999991</v>
      </c>
      <c r="O31" s="31">
        <f t="shared" si="64"/>
        <v>4283.9999999999991</v>
      </c>
      <c r="P31" s="31">
        <f t="shared" si="64"/>
        <v>4283.9999999999991</v>
      </c>
      <c r="Q31" s="31">
        <f t="shared" si="64"/>
        <v>4283.9999999999991</v>
      </c>
      <c r="R31" s="31">
        <f t="shared" si="64"/>
        <v>4896</v>
      </c>
      <c r="S31" s="31">
        <f t="shared" si="64"/>
        <v>4896</v>
      </c>
      <c r="T31" s="31">
        <f t="shared" si="64"/>
        <v>4896</v>
      </c>
      <c r="U31" s="31">
        <f t="shared" si="64"/>
        <v>4896</v>
      </c>
      <c r="V31" s="31">
        <f t="shared" si="64"/>
        <v>4896</v>
      </c>
      <c r="W31" s="31">
        <f t="shared" si="64"/>
        <v>4896</v>
      </c>
      <c r="X31" s="31">
        <f t="shared" si="64"/>
        <v>4896</v>
      </c>
      <c r="Y31" s="31">
        <f t="shared" si="64"/>
        <v>4896</v>
      </c>
      <c r="Z31" s="31">
        <f t="shared" si="64"/>
        <v>4896</v>
      </c>
      <c r="AA31" s="31">
        <f t="shared" si="64"/>
        <v>4896</v>
      </c>
      <c r="AB31" s="31">
        <f t="shared" si="64"/>
        <v>4896</v>
      </c>
      <c r="AC31" s="31">
        <f t="shared" si="64"/>
        <v>4896</v>
      </c>
      <c r="AD31" s="31">
        <f t="shared" si="64"/>
        <v>4896</v>
      </c>
      <c r="AE31" s="31">
        <f t="shared" si="64"/>
        <v>4896</v>
      </c>
      <c r="AF31" s="31">
        <f t="shared" si="64"/>
        <v>4896</v>
      </c>
      <c r="AG31" s="31">
        <f t="shared" si="64"/>
        <v>4896</v>
      </c>
      <c r="AH31" s="31">
        <f t="shared" si="64"/>
        <v>4896</v>
      </c>
      <c r="AI31" s="31">
        <f t="shared" si="64"/>
        <v>4896</v>
      </c>
      <c r="AJ31" s="31">
        <f t="shared" si="64"/>
        <v>4896</v>
      </c>
      <c r="AK31" s="31">
        <f t="shared" si="64"/>
        <v>4896</v>
      </c>
      <c r="AL31" s="31">
        <f t="shared" si="64"/>
        <v>4896</v>
      </c>
      <c r="AM31" s="31">
        <f t="shared" si="64"/>
        <v>4896</v>
      </c>
      <c r="AN31" s="31">
        <f t="shared" si="64"/>
        <v>4896</v>
      </c>
      <c r="AO31" s="31">
        <f t="shared" si="64"/>
        <v>4896</v>
      </c>
      <c r="AP31" s="31">
        <f t="shared" si="64"/>
        <v>5508</v>
      </c>
      <c r="AQ31" s="31">
        <f t="shared" si="64"/>
        <v>5508</v>
      </c>
      <c r="AR31" s="31">
        <f t="shared" si="64"/>
        <v>5508</v>
      </c>
      <c r="AS31" s="31">
        <f t="shared" si="64"/>
        <v>5508</v>
      </c>
      <c r="AT31" s="31">
        <f t="shared" si="64"/>
        <v>5508</v>
      </c>
      <c r="AU31" s="31">
        <f t="shared" si="64"/>
        <v>5508</v>
      </c>
      <c r="AV31" s="31">
        <f t="shared" si="64"/>
        <v>5508</v>
      </c>
      <c r="AW31" s="31">
        <f t="shared" si="64"/>
        <v>5508</v>
      </c>
      <c r="AX31" s="31">
        <f t="shared" si="64"/>
        <v>5508</v>
      </c>
      <c r="AY31" s="31">
        <f t="shared" si="64"/>
        <v>5508</v>
      </c>
      <c r="AZ31" s="31">
        <f t="shared" si="64"/>
        <v>5508</v>
      </c>
      <c r="BA31" s="31">
        <f t="shared" si="64"/>
        <v>5508</v>
      </c>
      <c r="BB31" s="31">
        <f t="shared" si="64"/>
        <v>6120</v>
      </c>
      <c r="BC31" s="31">
        <f t="shared" si="64"/>
        <v>6120</v>
      </c>
      <c r="BD31" s="31">
        <f t="shared" si="64"/>
        <v>6120</v>
      </c>
      <c r="BE31" s="31">
        <f t="shared" si="64"/>
        <v>6120</v>
      </c>
      <c r="BF31" s="31">
        <f t="shared" si="64"/>
        <v>6120</v>
      </c>
      <c r="BG31" s="31">
        <f t="shared" si="64"/>
        <v>6120</v>
      </c>
      <c r="BH31" s="31">
        <f t="shared" si="64"/>
        <v>6120</v>
      </c>
      <c r="BI31" s="31">
        <f t="shared" si="64"/>
        <v>6120</v>
      </c>
      <c r="BJ31" s="31">
        <f t="shared" si="64"/>
        <v>6120</v>
      </c>
      <c r="BK31" s="31">
        <f t="shared" si="64"/>
        <v>6120</v>
      </c>
      <c r="BL31" s="31">
        <f t="shared" si="64"/>
        <v>6120</v>
      </c>
      <c r="BM31" s="31">
        <f t="shared" si="64"/>
        <v>6120</v>
      </c>
      <c r="BN31" s="5"/>
      <c r="BO31" s="31"/>
      <c r="BP31" s="5"/>
      <c r="BQ31" s="5"/>
      <c r="BR31" s="5"/>
      <c r="BS31" s="5"/>
      <c r="BT31" s="5"/>
      <c r="BU31" s="5"/>
    </row>
    <row r="32" spans="1:73" ht="15.75" thickTop="1" x14ac:dyDescent="0.2"/>
    <row r="33" spans="1:73" s="201" customFormat="1" x14ac:dyDescent="0.2">
      <c r="A33" s="227"/>
      <c r="B33" s="227"/>
      <c r="C33" s="106" t="s">
        <v>45</v>
      </c>
      <c r="D33" s="35" t="s">
        <v>25</v>
      </c>
      <c r="E33" s="228"/>
      <c r="F33" s="14">
        <f>IF('Вводные данные'!$E$66="нет",F34*F35,F34*F36)</f>
        <v>100980</v>
      </c>
      <c r="G33" s="14">
        <f>IF('Вводные данные'!$E$66="нет",G34*G35,G34*G36)</f>
        <v>121176</v>
      </c>
      <c r="H33" s="14">
        <f>IF('Вводные данные'!$E$66="нет",H34*H35,H34*H36)</f>
        <v>141371.99999999997</v>
      </c>
      <c r="I33" s="14">
        <f>IF('Вводные данные'!$E$66="нет",I34*I35,I34*I36)</f>
        <v>141371.99999999997</v>
      </c>
      <c r="J33" s="14">
        <f>IF('Вводные данные'!$E$66="нет",J34*J35,J34*J36)</f>
        <v>141371.99999999997</v>
      </c>
      <c r="K33" s="14">
        <f>IF('Вводные данные'!$E$66="нет",K34*K35,K34*K36)</f>
        <v>141371.99999999997</v>
      </c>
      <c r="L33" s="14">
        <f>IF('Вводные данные'!$E$66="нет",L34*L35,L34*L36)</f>
        <v>141371.99999999997</v>
      </c>
      <c r="M33" s="14">
        <f>IF('Вводные данные'!$E$66="нет",M34*M35,M34*M36)</f>
        <v>141371.99999999997</v>
      </c>
      <c r="N33" s="14">
        <f>IF('Вводные данные'!$E$66="нет",N34*N35,N34*N36)</f>
        <v>141371.99999999997</v>
      </c>
      <c r="O33" s="14">
        <f>IF('Вводные данные'!$E$66="нет",O34*O35,O34*O36)</f>
        <v>141371.99999999997</v>
      </c>
      <c r="P33" s="14">
        <f>IF('Вводные данные'!$E$66="нет",P34*P35,P34*P36)</f>
        <v>141371.99999999997</v>
      </c>
      <c r="Q33" s="14">
        <f>IF('Вводные данные'!$E$66="нет",Q34*Q35,Q34*Q36)</f>
        <v>141371.99999999997</v>
      </c>
      <c r="R33" s="14">
        <f>IF('Вводные данные'!$E$66="нет",R34*R35,R34*R36)</f>
        <v>162510.48000000001</v>
      </c>
      <c r="S33" s="14">
        <f>IF('Вводные данные'!$E$66="нет",S34*S35,S34*S36)</f>
        <v>163458.4578</v>
      </c>
      <c r="T33" s="14">
        <f>IF('Вводные данные'!$E$66="нет",T34*T35,T34*T36)</f>
        <v>164411.9654705</v>
      </c>
      <c r="U33" s="14">
        <f>IF('Вводные данные'!$E$66="нет",U34*U35,U34*U36)</f>
        <v>165371.03526907795</v>
      </c>
      <c r="V33" s="14">
        <f>IF('Вводные данные'!$E$66="нет",V34*V35,V34*V36)</f>
        <v>166335.6996414809</v>
      </c>
      <c r="W33" s="14">
        <f>IF('Вводные данные'!$E$66="нет",W34*W35,W34*W36)</f>
        <v>167305.99122272286</v>
      </c>
      <c r="X33" s="14">
        <f>IF('Вводные данные'!$E$66="нет",X34*X35,X34*X36)</f>
        <v>168281.94283818876</v>
      </c>
      <c r="Y33" s="14">
        <f>IF('Вводные данные'!$E$66="нет",Y34*Y35,Y34*Y36)</f>
        <v>169263.58750474488</v>
      </c>
      <c r="Z33" s="14">
        <f>IF('Вводные данные'!$E$66="нет",Z34*Z35,Z34*Z36)</f>
        <v>170250.95843185589</v>
      </c>
      <c r="AA33" s="14">
        <f>IF('Вводные данные'!$E$66="нет",AA34*AA35,AA34*AA36)</f>
        <v>171244.08902270836</v>
      </c>
      <c r="AB33" s="14">
        <f>IF('Вводные данные'!$E$66="нет",AB34*AB35,AB34*AB36)</f>
        <v>172243.01287534082</v>
      </c>
      <c r="AC33" s="14">
        <f>IF('Вводные данные'!$E$66="нет",AC34*AC35,AC34*AC36)</f>
        <v>173247.76378378033</v>
      </c>
      <c r="AD33" s="14">
        <f>IF('Вводные данные'!$E$66="нет",AD34*AD35,AD34*AD36)</f>
        <v>174258.37573918572</v>
      </c>
      <c r="AE33" s="14">
        <f>IF('Вводные данные'!$E$66="нет",AE34*AE35,AE34*AE36)</f>
        <v>175274.88293099764</v>
      </c>
      <c r="AF33" s="14">
        <f>IF('Вводные данные'!$E$66="нет",AF34*AF35,AF34*AF36)</f>
        <v>176297.31974809515</v>
      </c>
      <c r="AG33" s="14">
        <f>IF('Вводные данные'!$E$66="нет",AG34*AG35,AG34*AG36)</f>
        <v>177325.72077995905</v>
      </c>
      <c r="AH33" s="14">
        <f>IF('Вводные данные'!$E$66="нет",AH34*AH35,AH34*AH36)</f>
        <v>178360.12081784217</v>
      </c>
      <c r="AI33" s="14">
        <f>IF('Вводные данные'!$E$66="нет",AI34*AI35,AI34*AI36)</f>
        <v>179400.55485594622</v>
      </c>
      <c r="AJ33" s="14">
        <f>IF('Вводные данные'!$E$66="нет",AJ34*AJ35,AJ34*AJ36)</f>
        <v>180447.05809260596</v>
      </c>
      <c r="AK33" s="14">
        <f>IF('Вводные данные'!$E$66="нет",AK34*AK35,AK34*AK36)</f>
        <v>181499.66593147948</v>
      </c>
      <c r="AL33" s="14">
        <f>IF('Вводные данные'!$E$66="нет",AL34*AL35,AL34*AL36)</f>
        <v>182558.41398274645</v>
      </c>
      <c r="AM33" s="14">
        <f>IF('Вводные данные'!$E$66="нет",AM34*AM35,AM34*AM36)</f>
        <v>183623.33806431247</v>
      </c>
      <c r="AN33" s="14">
        <f>IF('Вводные данные'!$E$66="нет",AN34*AN35,AN34*AN36)</f>
        <v>184694.47420302097</v>
      </c>
      <c r="AO33" s="14">
        <f>IF('Вводные данные'!$E$66="нет",AO34*AO35,AO34*AO36)</f>
        <v>185771.85863587196</v>
      </c>
      <c r="AP33" s="14">
        <f>IF('Вводные данные'!$E$66="нет",AP34*AP35,AP34*AP36)</f>
        <v>210212.46878765387</v>
      </c>
      <c r="AQ33" s="14">
        <f>IF('Вводные данные'!$E$66="нет",AQ34*AQ35,AQ34*AQ36)</f>
        <v>211438.70818891519</v>
      </c>
      <c r="AR33" s="14">
        <f>IF('Вводные данные'!$E$66="нет",AR34*AR35,AR34*AR36)</f>
        <v>212672.10065335056</v>
      </c>
      <c r="AS33" s="14">
        <f>IF('Вводные данные'!$E$66="нет",AS34*AS35,AS34*AS36)</f>
        <v>213912.68790716174</v>
      </c>
      <c r="AT33" s="14">
        <f>IF('Вводные данные'!$E$66="нет",AT34*AT35,AT34*AT36)</f>
        <v>215160.51191995354</v>
      </c>
      <c r="AU33" s="14">
        <f>IF('Вводные данные'!$E$66="нет",AU34*AU35,AU34*AU36)</f>
        <v>216415.61490615329</v>
      </c>
      <c r="AV33" s="14">
        <f>IF('Вводные данные'!$E$66="нет",AV34*AV35,AV34*AV36)</f>
        <v>217678.03932643918</v>
      </c>
      <c r="AW33" s="14">
        <f>IF('Вводные данные'!$E$66="нет",AW34*AW35,AW34*AW36)</f>
        <v>218947.82788917678</v>
      </c>
      <c r="AX33" s="14">
        <f>IF('Вводные данные'!$E$66="нет",AX34*AX35,AX34*AX36)</f>
        <v>220225.02355186365</v>
      </c>
      <c r="AY33" s="14">
        <f>IF('Вводные данные'!$E$66="нет",AY34*AY35,AY34*AY36)</f>
        <v>221509.66952258284</v>
      </c>
      <c r="AZ33" s="14">
        <f>IF('Вводные данные'!$E$66="нет",AZ34*AZ35,AZ34*AZ36)</f>
        <v>222801.80926146457</v>
      </c>
      <c r="BA33" s="14">
        <f>IF('Вводные данные'!$E$66="нет",BA34*BA35,BA34*BA36)</f>
        <v>224101.48648215647</v>
      </c>
      <c r="BB33" s="14">
        <f>IF('Вводные данные'!$E$66="нет",BB34*BB35,BB34*BB36)</f>
        <v>250454.16128144713</v>
      </c>
      <c r="BC33" s="14">
        <f>IF('Вводные данные'!$E$66="нет",BC34*BC35,BC34*BC36)</f>
        <v>251915.1438889222</v>
      </c>
      <c r="BD33" s="14">
        <f>IF('Вводные данные'!$E$66="нет",BD34*BD35,BD34*BD36)</f>
        <v>253384.64889494094</v>
      </c>
      <c r="BE33" s="14">
        <f>IF('Вводные данные'!$E$66="нет",BE34*BE35,BE34*BE36)</f>
        <v>254862.72601349474</v>
      </c>
      <c r="BF33" s="14">
        <f>IF('Вводные данные'!$E$66="нет",BF34*BF35,BF34*BF36)</f>
        <v>256349.42524857348</v>
      </c>
      <c r="BG33" s="14">
        <f>IF('Вводные данные'!$E$66="нет",BG34*BG35,BG34*BG36)</f>
        <v>257844.79689585685</v>
      </c>
      <c r="BH33" s="14">
        <f>IF('Вводные данные'!$E$66="нет",BH34*BH35,BH34*BH36)</f>
        <v>259348.89154441605</v>
      </c>
      <c r="BI33" s="14">
        <f>IF('Вводные данные'!$E$66="нет",BI34*BI35,BI34*BI36)</f>
        <v>260861.76007842514</v>
      </c>
      <c r="BJ33" s="14">
        <f>IF('Вводные данные'!$E$66="нет",BJ34*BJ35,BJ34*BJ36)</f>
        <v>262383.45367888262</v>
      </c>
      <c r="BK33" s="14">
        <f>IF('Вводные данные'!$E$66="нет",BK34*BK35,BK34*BK36)</f>
        <v>263914.02382534277</v>
      </c>
      <c r="BL33" s="14">
        <f>IF('Вводные данные'!$E$66="нет",BL34*BL35,BL34*BL36)</f>
        <v>265453.52229765727</v>
      </c>
      <c r="BM33" s="14">
        <f>IF('Вводные данные'!$E$66="нет",BM34*BM35,BM34*BM36)</f>
        <v>267002.00117772695</v>
      </c>
      <c r="BN33" s="14"/>
      <c r="BO33" s="14">
        <f t="shared" si="57"/>
        <v>11518163.270865025</v>
      </c>
      <c r="BP33" s="107">
        <f>SUM(F33:Q33)</f>
        <v>1635876</v>
      </c>
      <c r="BQ33" s="107">
        <f>SUM(R33:AC33)</f>
        <v>2013924.9838604007</v>
      </c>
      <c r="BR33" s="107">
        <f>SUM(AD33:AO33)</f>
        <v>2159511.7837820635</v>
      </c>
      <c r="BS33" s="107">
        <f>SUM(AP33:BA33)</f>
        <v>2605075.9483968713</v>
      </c>
      <c r="BT33" s="107">
        <f>SUM(BB33:BM33)</f>
        <v>3103774.5548256859</v>
      </c>
      <c r="BU33" s="107">
        <f>SUM(BP33:BT33)</f>
        <v>11518163.270865021</v>
      </c>
    </row>
    <row r="34" spans="1:73" outlineLevel="1" x14ac:dyDescent="0.2">
      <c r="C34" s="205" t="s">
        <v>65</v>
      </c>
      <c r="D34" s="226" t="s">
        <v>10</v>
      </c>
      <c r="F34" s="229">
        <f>F31</f>
        <v>3060</v>
      </c>
      <c r="G34" s="229">
        <f t="shared" ref="G34:BM34" si="65">G31</f>
        <v>3672</v>
      </c>
      <c r="H34" s="229">
        <f t="shared" si="65"/>
        <v>4283.9999999999991</v>
      </c>
      <c r="I34" s="229">
        <f t="shared" si="65"/>
        <v>4283.9999999999991</v>
      </c>
      <c r="J34" s="229">
        <f t="shared" si="65"/>
        <v>4283.9999999999991</v>
      </c>
      <c r="K34" s="229">
        <f t="shared" si="65"/>
        <v>4283.9999999999991</v>
      </c>
      <c r="L34" s="229">
        <f t="shared" si="65"/>
        <v>4283.9999999999991</v>
      </c>
      <c r="M34" s="229">
        <f t="shared" si="65"/>
        <v>4283.9999999999991</v>
      </c>
      <c r="N34" s="229">
        <f t="shared" si="65"/>
        <v>4283.9999999999991</v>
      </c>
      <c r="O34" s="229">
        <f t="shared" si="65"/>
        <v>4283.9999999999991</v>
      </c>
      <c r="P34" s="229">
        <f t="shared" si="65"/>
        <v>4283.9999999999991</v>
      </c>
      <c r="Q34" s="229">
        <f t="shared" si="65"/>
        <v>4283.9999999999991</v>
      </c>
      <c r="R34" s="229">
        <f t="shared" si="65"/>
        <v>4896</v>
      </c>
      <c r="S34" s="229">
        <f t="shared" si="65"/>
        <v>4896</v>
      </c>
      <c r="T34" s="229">
        <f t="shared" si="65"/>
        <v>4896</v>
      </c>
      <c r="U34" s="229">
        <f t="shared" si="65"/>
        <v>4896</v>
      </c>
      <c r="V34" s="229">
        <f t="shared" si="65"/>
        <v>4896</v>
      </c>
      <c r="W34" s="229">
        <f t="shared" si="65"/>
        <v>4896</v>
      </c>
      <c r="X34" s="229">
        <f t="shared" si="65"/>
        <v>4896</v>
      </c>
      <c r="Y34" s="229">
        <f t="shared" si="65"/>
        <v>4896</v>
      </c>
      <c r="Z34" s="229">
        <f t="shared" si="65"/>
        <v>4896</v>
      </c>
      <c r="AA34" s="229">
        <f t="shared" si="65"/>
        <v>4896</v>
      </c>
      <c r="AB34" s="229">
        <f t="shared" si="65"/>
        <v>4896</v>
      </c>
      <c r="AC34" s="229">
        <f t="shared" si="65"/>
        <v>4896</v>
      </c>
      <c r="AD34" s="229">
        <f t="shared" si="65"/>
        <v>4896</v>
      </c>
      <c r="AE34" s="229">
        <f t="shared" si="65"/>
        <v>4896</v>
      </c>
      <c r="AF34" s="229">
        <f t="shared" si="65"/>
        <v>4896</v>
      </c>
      <c r="AG34" s="229">
        <f t="shared" si="65"/>
        <v>4896</v>
      </c>
      <c r="AH34" s="229">
        <f t="shared" si="65"/>
        <v>4896</v>
      </c>
      <c r="AI34" s="229">
        <f t="shared" si="65"/>
        <v>4896</v>
      </c>
      <c r="AJ34" s="229">
        <f t="shared" si="65"/>
        <v>4896</v>
      </c>
      <c r="AK34" s="229">
        <f t="shared" si="65"/>
        <v>4896</v>
      </c>
      <c r="AL34" s="229">
        <f t="shared" si="65"/>
        <v>4896</v>
      </c>
      <c r="AM34" s="229">
        <f t="shared" si="65"/>
        <v>4896</v>
      </c>
      <c r="AN34" s="229">
        <f t="shared" si="65"/>
        <v>4896</v>
      </c>
      <c r="AO34" s="229">
        <f t="shared" si="65"/>
        <v>4896</v>
      </c>
      <c r="AP34" s="229">
        <f t="shared" si="65"/>
        <v>5508</v>
      </c>
      <c r="AQ34" s="229">
        <f t="shared" si="65"/>
        <v>5508</v>
      </c>
      <c r="AR34" s="229">
        <f t="shared" si="65"/>
        <v>5508</v>
      </c>
      <c r="AS34" s="229">
        <f t="shared" si="65"/>
        <v>5508</v>
      </c>
      <c r="AT34" s="229">
        <f t="shared" si="65"/>
        <v>5508</v>
      </c>
      <c r="AU34" s="229">
        <f t="shared" si="65"/>
        <v>5508</v>
      </c>
      <c r="AV34" s="229">
        <f t="shared" si="65"/>
        <v>5508</v>
      </c>
      <c r="AW34" s="229">
        <f t="shared" si="65"/>
        <v>5508</v>
      </c>
      <c r="AX34" s="229">
        <f t="shared" si="65"/>
        <v>5508</v>
      </c>
      <c r="AY34" s="229">
        <f t="shared" si="65"/>
        <v>5508</v>
      </c>
      <c r="AZ34" s="229">
        <f t="shared" si="65"/>
        <v>5508</v>
      </c>
      <c r="BA34" s="229">
        <f t="shared" si="65"/>
        <v>5508</v>
      </c>
      <c r="BB34" s="229">
        <f t="shared" si="65"/>
        <v>6120</v>
      </c>
      <c r="BC34" s="229">
        <f t="shared" si="65"/>
        <v>6120</v>
      </c>
      <c r="BD34" s="229">
        <f t="shared" si="65"/>
        <v>6120</v>
      </c>
      <c r="BE34" s="229">
        <f t="shared" si="65"/>
        <v>6120</v>
      </c>
      <c r="BF34" s="229">
        <f t="shared" si="65"/>
        <v>6120</v>
      </c>
      <c r="BG34" s="229">
        <f t="shared" si="65"/>
        <v>6120</v>
      </c>
      <c r="BH34" s="229">
        <f t="shared" si="65"/>
        <v>6120</v>
      </c>
      <c r="BI34" s="229">
        <f t="shared" si="65"/>
        <v>6120</v>
      </c>
      <c r="BJ34" s="229">
        <f t="shared" si="65"/>
        <v>6120</v>
      </c>
      <c r="BK34" s="229">
        <f t="shared" si="65"/>
        <v>6120</v>
      </c>
      <c r="BL34" s="229">
        <f t="shared" si="65"/>
        <v>6120</v>
      </c>
      <c r="BM34" s="229">
        <f t="shared" si="65"/>
        <v>6120</v>
      </c>
      <c r="BO34" s="229"/>
    </row>
    <row r="35" spans="1:73" outlineLevel="1" x14ac:dyDescent="0.2">
      <c r="C35" s="205" t="s">
        <v>63</v>
      </c>
      <c r="D35" s="202" t="s">
        <v>64</v>
      </c>
      <c r="F35" s="230">
        <f>'Вводные данные'!$E$19</f>
        <v>33</v>
      </c>
      <c r="G35" s="230">
        <f>'Вводные данные'!$E$19</f>
        <v>33</v>
      </c>
      <c r="H35" s="230">
        <f>'Вводные данные'!$E$19</f>
        <v>33</v>
      </c>
      <c r="I35" s="230">
        <f>'Вводные данные'!$E$19</f>
        <v>33</v>
      </c>
      <c r="J35" s="230">
        <f>'Вводные данные'!$E$19</f>
        <v>33</v>
      </c>
      <c r="K35" s="230">
        <f>'Вводные данные'!$E$19</f>
        <v>33</v>
      </c>
      <c r="L35" s="230">
        <f>'Вводные данные'!$E$19</f>
        <v>33</v>
      </c>
      <c r="M35" s="230">
        <f>'Вводные данные'!$E$19</f>
        <v>33</v>
      </c>
      <c r="N35" s="230">
        <f>'Вводные данные'!$E$19</f>
        <v>33</v>
      </c>
      <c r="O35" s="230">
        <f>'Вводные данные'!$E$19</f>
        <v>33</v>
      </c>
      <c r="P35" s="230">
        <f>'Вводные данные'!$E$19</f>
        <v>33</v>
      </c>
      <c r="Q35" s="231">
        <f>'Вводные данные'!$E$19</f>
        <v>33</v>
      </c>
      <c r="R35" s="230">
        <f>'Вводные данные'!$E$19</f>
        <v>33</v>
      </c>
      <c r="S35" s="230">
        <f>'Вводные данные'!$E$19</f>
        <v>33</v>
      </c>
      <c r="T35" s="230">
        <f>'Вводные данные'!$E$19</f>
        <v>33</v>
      </c>
      <c r="U35" s="230">
        <f>'Вводные данные'!$E$19</f>
        <v>33</v>
      </c>
      <c r="V35" s="230">
        <f>'Вводные данные'!$E$19</f>
        <v>33</v>
      </c>
      <c r="W35" s="230">
        <f>'Вводные данные'!$E$19</f>
        <v>33</v>
      </c>
      <c r="X35" s="230">
        <f>'Вводные данные'!$E$19</f>
        <v>33</v>
      </c>
      <c r="Y35" s="230">
        <f>'Вводные данные'!$E$19</f>
        <v>33</v>
      </c>
      <c r="Z35" s="230">
        <f>'Вводные данные'!$E$19</f>
        <v>33</v>
      </c>
      <c r="AA35" s="230">
        <f>'Вводные данные'!$E$19</f>
        <v>33</v>
      </c>
      <c r="AB35" s="230">
        <f>'Вводные данные'!$E$19</f>
        <v>33</v>
      </c>
      <c r="AC35" s="231">
        <f>'Вводные данные'!$E$19</f>
        <v>33</v>
      </c>
      <c r="AD35" s="230">
        <f>'Вводные данные'!$E$19</f>
        <v>33</v>
      </c>
      <c r="AE35" s="230">
        <f>'Вводные данные'!$E$19</f>
        <v>33</v>
      </c>
      <c r="AF35" s="230">
        <f>'Вводные данные'!$E$19</f>
        <v>33</v>
      </c>
      <c r="AG35" s="230">
        <f>'Вводные данные'!$E$19</f>
        <v>33</v>
      </c>
      <c r="AH35" s="230">
        <f>'Вводные данные'!$E$19</f>
        <v>33</v>
      </c>
      <c r="AI35" s="230">
        <f>'Вводные данные'!$E$19</f>
        <v>33</v>
      </c>
      <c r="AJ35" s="230">
        <f>'Вводные данные'!$E$19</f>
        <v>33</v>
      </c>
      <c r="AK35" s="230">
        <f>'Вводные данные'!$E$19</f>
        <v>33</v>
      </c>
      <c r="AL35" s="230">
        <f>'Вводные данные'!$E$19</f>
        <v>33</v>
      </c>
      <c r="AM35" s="230">
        <f>'Вводные данные'!$E$19</f>
        <v>33</v>
      </c>
      <c r="AN35" s="230">
        <f>'Вводные данные'!$E$19</f>
        <v>33</v>
      </c>
      <c r="AO35" s="231">
        <f>'Вводные данные'!$E$19</f>
        <v>33</v>
      </c>
      <c r="AP35" s="230">
        <f>'Вводные данные'!$E$19</f>
        <v>33</v>
      </c>
      <c r="AQ35" s="230">
        <f>'Вводные данные'!$E$19</f>
        <v>33</v>
      </c>
      <c r="AR35" s="230">
        <f>'Вводные данные'!$E$19</f>
        <v>33</v>
      </c>
      <c r="AS35" s="230">
        <f>'Вводные данные'!$E$19</f>
        <v>33</v>
      </c>
      <c r="AT35" s="230">
        <f>'Вводные данные'!$E$19</f>
        <v>33</v>
      </c>
      <c r="AU35" s="230">
        <f>'Вводные данные'!$E$19</f>
        <v>33</v>
      </c>
      <c r="AV35" s="230">
        <f>'Вводные данные'!$E$19</f>
        <v>33</v>
      </c>
      <c r="AW35" s="230">
        <f>'Вводные данные'!$E$19</f>
        <v>33</v>
      </c>
      <c r="AX35" s="230">
        <f>'Вводные данные'!$E$19</f>
        <v>33</v>
      </c>
      <c r="AY35" s="230">
        <f>'Вводные данные'!$E$19</f>
        <v>33</v>
      </c>
      <c r="AZ35" s="230">
        <f>'Вводные данные'!$E$19</f>
        <v>33</v>
      </c>
      <c r="BA35" s="231">
        <f>'Вводные данные'!$E$19</f>
        <v>33</v>
      </c>
      <c r="BB35" s="230">
        <f>'Вводные данные'!$E$19</f>
        <v>33</v>
      </c>
      <c r="BC35" s="230">
        <f>'Вводные данные'!$E$19</f>
        <v>33</v>
      </c>
      <c r="BD35" s="230">
        <f>'Вводные данные'!$E$19</f>
        <v>33</v>
      </c>
      <c r="BE35" s="230">
        <f>'Вводные данные'!$E$19</f>
        <v>33</v>
      </c>
      <c r="BF35" s="230">
        <f>'Вводные данные'!$E$19</f>
        <v>33</v>
      </c>
      <c r="BG35" s="230">
        <f>'Вводные данные'!$E$19</f>
        <v>33</v>
      </c>
      <c r="BH35" s="230">
        <f>'Вводные данные'!$E$19</f>
        <v>33</v>
      </c>
      <c r="BI35" s="230">
        <f>'Вводные данные'!$E$19</f>
        <v>33</v>
      </c>
      <c r="BJ35" s="230">
        <f>'Вводные данные'!$E$19</f>
        <v>33</v>
      </c>
      <c r="BK35" s="230">
        <f>'Вводные данные'!$E$19</f>
        <v>33</v>
      </c>
      <c r="BL35" s="230">
        <f>'Вводные данные'!$E$19</f>
        <v>33</v>
      </c>
      <c r="BM35" s="230">
        <f>'Вводные данные'!$E$19</f>
        <v>33</v>
      </c>
      <c r="BN35" s="232"/>
      <c r="BO35" s="230"/>
    </row>
    <row r="36" spans="1:73" ht="27.75" outlineLevel="1" x14ac:dyDescent="0.2">
      <c r="C36" s="205" t="s">
        <v>90</v>
      </c>
      <c r="D36" s="202" t="s">
        <v>64</v>
      </c>
      <c r="F36" s="233">
        <f t="shared" ref="F36:AK36" si="66">F35*F8</f>
        <v>33</v>
      </c>
      <c r="G36" s="233">
        <f t="shared" si="66"/>
        <v>33</v>
      </c>
      <c r="H36" s="233">
        <f t="shared" si="66"/>
        <v>33</v>
      </c>
      <c r="I36" s="233">
        <f t="shared" si="66"/>
        <v>33</v>
      </c>
      <c r="J36" s="233">
        <f t="shared" si="66"/>
        <v>33</v>
      </c>
      <c r="K36" s="233">
        <f t="shared" si="66"/>
        <v>33</v>
      </c>
      <c r="L36" s="233">
        <f t="shared" si="66"/>
        <v>33</v>
      </c>
      <c r="M36" s="233">
        <f t="shared" si="66"/>
        <v>33</v>
      </c>
      <c r="N36" s="233">
        <f t="shared" si="66"/>
        <v>33</v>
      </c>
      <c r="O36" s="233">
        <f t="shared" si="66"/>
        <v>33</v>
      </c>
      <c r="P36" s="233">
        <f t="shared" si="66"/>
        <v>33</v>
      </c>
      <c r="Q36" s="233">
        <f t="shared" si="66"/>
        <v>33</v>
      </c>
      <c r="R36" s="233">
        <f t="shared" si="66"/>
        <v>33.192500000000003</v>
      </c>
      <c r="S36" s="233">
        <f t="shared" si="66"/>
        <v>33.386122916666665</v>
      </c>
      <c r="T36" s="233">
        <f t="shared" si="66"/>
        <v>33.580875300347223</v>
      </c>
      <c r="U36" s="233">
        <f t="shared" si="66"/>
        <v>33.776763739599254</v>
      </c>
      <c r="V36" s="233">
        <f t="shared" si="66"/>
        <v>33.97379486141358</v>
      </c>
      <c r="W36" s="233">
        <f t="shared" si="66"/>
        <v>34.171975331438496</v>
      </c>
      <c r="X36" s="233">
        <f t="shared" si="66"/>
        <v>34.371311854205217</v>
      </c>
      <c r="Y36" s="233">
        <f t="shared" si="66"/>
        <v>34.571811173354753</v>
      </c>
      <c r="Z36" s="233">
        <f t="shared" si="66"/>
        <v>34.77348007186599</v>
      </c>
      <c r="AA36" s="233">
        <f t="shared" si="66"/>
        <v>34.976325372285203</v>
      </c>
      <c r="AB36" s="233">
        <f t="shared" si="66"/>
        <v>35.18035393695687</v>
      </c>
      <c r="AC36" s="233">
        <f t="shared" si="66"/>
        <v>35.38557266825579</v>
      </c>
      <c r="AD36" s="233">
        <f t="shared" si="66"/>
        <v>35.591988508820613</v>
      </c>
      <c r="AE36" s="233">
        <f t="shared" si="66"/>
        <v>35.799608441788735</v>
      </c>
      <c r="AF36" s="233">
        <f t="shared" si="66"/>
        <v>36.008439491032505</v>
      </c>
      <c r="AG36" s="233">
        <f t="shared" si="66"/>
        <v>36.218488721396866</v>
      </c>
      <c r="AH36" s="233">
        <f t="shared" si="66"/>
        <v>36.429763238938349</v>
      </c>
      <c r="AI36" s="233">
        <f t="shared" si="66"/>
        <v>36.642270191165487</v>
      </c>
      <c r="AJ36" s="233">
        <f t="shared" si="66"/>
        <v>36.856016767280629</v>
      </c>
      <c r="AK36" s="233">
        <f t="shared" si="66"/>
        <v>37.071010198423096</v>
      </c>
      <c r="AL36" s="233">
        <f t="shared" ref="AL36:BM36" si="67">AL35*AL8</f>
        <v>37.287257757913899</v>
      </c>
      <c r="AM36" s="233">
        <f t="shared" si="67"/>
        <v>37.504766761501728</v>
      </c>
      <c r="AN36" s="233">
        <f t="shared" si="67"/>
        <v>37.723544567610496</v>
      </c>
      <c r="AO36" s="233">
        <f t="shared" si="67"/>
        <v>37.943598577588226</v>
      </c>
      <c r="AP36" s="233">
        <f t="shared" si="67"/>
        <v>38.164936235957491</v>
      </c>
      <c r="AQ36" s="233">
        <f t="shared" si="67"/>
        <v>38.387565030667247</v>
      </c>
      <c r="AR36" s="233">
        <f t="shared" si="67"/>
        <v>38.611492493346141</v>
      </c>
      <c r="AS36" s="233">
        <f t="shared" si="67"/>
        <v>38.836726199557326</v>
      </c>
      <c r="AT36" s="233">
        <f t="shared" si="67"/>
        <v>39.063273769054746</v>
      </c>
      <c r="AU36" s="233">
        <f t="shared" si="67"/>
        <v>39.2911428660409</v>
      </c>
      <c r="AV36" s="233">
        <f t="shared" si="67"/>
        <v>39.520341199426142</v>
      </c>
      <c r="AW36" s="233">
        <f t="shared" si="67"/>
        <v>39.750876523089467</v>
      </c>
      <c r="AX36" s="233">
        <f t="shared" si="67"/>
        <v>39.98275663614082</v>
      </c>
      <c r="AY36" s="233">
        <f t="shared" si="67"/>
        <v>40.215989383184976</v>
      </c>
      <c r="AZ36" s="233">
        <f t="shared" si="67"/>
        <v>40.450582654586889</v>
      </c>
      <c r="BA36" s="233">
        <f t="shared" si="67"/>
        <v>40.686544386738646</v>
      </c>
      <c r="BB36" s="233">
        <f t="shared" si="67"/>
        <v>40.923882562327961</v>
      </c>
      <c r="BC36" s="233">
        <f t="shared" si="67"/>
        <v>41.162605210608206</v>
      </c>
      <c r="BD36" s="233">
        <f t="shared" si="67"/>
        <v>41.402720407670088</v>
      </c>
      <c r="BE36" s="233">
        <f t="shared" si="67"/>
        <v>41.644236276714828</v>
      </c>
      <c r="BF36" s="233">
        <f t="shared" si="67"/>
        <v>41.887160988329001</v>
      </c>
      <c r="BG36" s="233">
        <f t="shared" si="67"/>
        <v>42.131502760760924</v>
      </c>
      <c r="BH36" s="233">
        <f t="shared" si="67"/>
        <v>42.377269860198702</v>
      </c>
      <c r="BI36" s="233">
        <f t="shared" si="67"/>
        <v>42.624470601049858</v>
      </c>
      <c r="BJ36" s="233">
        <f t="shared" si="67"/>
        <v>42.873113346222652</v>
      </c>
      <c r="BK36" s="233">
        <f t="shared" si="67"/>
        <v>43.123206507408945</v>
      </c>
      <c r="BL36" s="233">
        <f t="shared" si="67"/>
        <v>43.374758545368834</v>
      </c>
      <c r="BM36" s="233">
        <f t="shared" si="67"/>
        <v>43.627777970216819</v>
      </c>
      <c r="BO36" s="233"/>
    </row>
    <row r="37" spans="1:73" x14ac:dyDescent="0.2">
      <c r="C37" s="205"/>
      <c r="D37" s="202"/>
      <c r="F37" s="233"/>
      <c r="G37" s="233"/>
      <c r="H37" s="233"/>
      <c r="I37" s="233"/>
      <c r="J37" s="233"/>
      <c r="K37" s="233"/>
      <c r="L37" s="233"/>
      <c r="M37" s="233"/>
      <c r="N37" s="233"/>
      <c r="O37" s="233"/>
      <c r="P37" s="233"/>
      <c r="Q37" s="233"/>
      <c r="R37" s="233"/>
      <c r="S37" s="233"/>
      <c r="T37" s="233"/>
      <c r="U37" s="233"/>
      <c r="V37" s="233"/>
      <c r="W37" s="233"/>
      <c r="X37" s="233"/>
      <c r="Y37" s="233"/>
      <c r="Z37" s="233"/>
      <c r="AA37" s="233"/>
      <c r="AB37" s="233"/>
      <c r="AC37" s="233"/>
      <c r="AD37" s="233"/>
      <c r="AE37" s="233"/>
      <c r="AF37" s="233"/>
      <c r="AG37" s="233"/>
      <c r="AH37" s="233"/>
      <c r="AI37" s="233"/>
      <c r="AJ37" s="233"/>
      <c r="AK37" s="233"/>
      <c r="AL37" s="233"/>
      <c r="AM37" s="233"/>
      <c r="AN37" s="233"/>
      <c r="AO37" s="233"/>
      <c r="AP37" s="233"/>
      <c r="AQ37" s="233"/>
      <c r="AR37" s="233"/>
      <c r="AS37" s="233"/>
      <c r="AT37" s="233"/>
      <c r="AU37" s="233"/>
      <c r="AV37" s="233"/>
      <c r="AW37" s="233"/>
      <c r="AX37" s="233"/>
      <c r="AY37" s="233"/>
      <c r="AZ37" s="233"/>
      <c r="BA37" s="233"/>
      <c r="BB37" s="233"/>
      <c r="BC37" s="233"/>
      <c r="BD37" s="233"/>
      <c r="BE37" s="233"/>
      <c r="BF37" s="233"/>
      <c r="BG37" s="233"/>
      <c r="BH37" s="233"/>
      <c r="BI37" s="233"/>
      <c r="BJ37" s="233"/>
      <c r="BK37" s="233"/>
      <c r="BL37" s="233"/>
      <c r="BM37" s="233"/>
      <c r="BO37" s="233"/>
    </row>
    <row r="38" spans="1:73" s="1" customFormat="1" x14ac:dyDescent="0.2">
      <c r="A38" s="34"/>
      <c r="B38" s="34"/>
      <c r="C38" s="34" t="s">
        <v>123</v>
      </c>
      <c r="D38" s="228" t="s">
        <v>71</v>
      </c>
      <c r="E38" s="35"/>
      <c r="F38" s="14">
        <f>IF('Вводные данные'!$E$66="нет",F39,F40)</f>
        <v>25000</v>
      </c>
      <c r="G38" s="14">
        <f>IF('Вводные данные'!$E$66="нет",G39,G40)</f>
        <v>25000</v>
      </c>
      <c r="H38" s="14">
        <f>IF('Вводные данные'!$E$66="нет",H39,H40)</f>
        <v>25000</v>
      </c>
      <c r="I38" s="14">
        <f>IF('Вводные данные'!$E$66="нет",I39,I40)</f>
        <v>25000</v>
      </c>
      <c r="J38" s="14">
        <f>IF('Вводные данные'!$E$66="нет",J39,J40)</f>
        <v>25000</v>
      </c>
      <c r="K38" s="14">
        <f>IF('Вводные данные'!$E$66="нет",K39,K40)</f>
        <v>25000</v>
      </c>
      <c r="L38" s="14">
        <f>IF('Вводные данные'!$E$66="нет",L39,L40)</f>
        <v>25000</v>
      </c>
      <c r="M38" s="14">
        <f>IF('Вводные данные'!$E$66="нет",M39,M40)</f>
        <v>25000</v>
      </c>
      <c r="N38" s="14">
        <f>IF('Вводные данные'!$E$66="нет",N39,N40)</f>
        <v>25000</v>
      </c>
      <c r="O38" s="14">
        <f>IF('Вводные данные'!$E$66="нет",O39,O40)</f>
        <v>25000</v>
      </c>
      <c r="P38" s="14">
        <f>IF('Вводные данные'!$E$66="нет",P39,P40)</f>
        <v>25000</v>
      </c>
      <c r="Q38" s="14">
        <f>IF('Вводные данные'!$E$66="нет",Q39,Q40)</f>
        <v>25000</v>
      </c>
      <c r="R38" s="14">
        <f>IF('Вводные данные'!$E$66="нет",R39,R40)</f>
        <v>25145.833333333332</v>
      </c>
      <c r="S38" s="14">
        <f>IF('Вводные данные'!$E$66="нет",S39,S40)</f>
        <v>25292.517361111109</v>
      </c>
      <c r="T38" s="14">
        <f>IF('Вводные данные'!$E$66="нет",T39,T40)</f>
        <v>25440.057045717596</v>
      </c>
      <c r="U38" s="14">
        <f>IF('Вводные данные'!$E$66="нет",U39,U40)</f>
        <v>25588.45737848428</v>
      </c>
      <c r="V38" s="14">
        <f>IF('Вводные данные'!$E$66="нет",V39,V40)</f>
        <v>25737.723379858773</v>
      </c>
      <c r="W38" s="14">
        <f>IF('Вводные данные'!$E$66="нет",W39,W40)</f>
        <v>25887.860099574616</v>
      </c>
      <c r="X38" s="14">
        <f>IF('Вводные данные'!$E$66="нет",X39,X40)</f>
        <v>26038.872616822133</v>
      </c>
      <c r="Y38" s="14">
        <f>IF('Вводные данные'!$E$66="нет",Y39,Y40)</f>
        <v>26190.766040420265</v>
      </c>
      <c r="Z38" s="14">
        <f>IF('Вводные данные'!$E$66="нет",Z39,Z40)</f>
        <v>26343.545508989384</v>
      </c>
      <c r="AA38" s="14">
        <f>IF('Вводные данные'!$E$66="нет",AA39,AA40)</f>
        <v>26497.216191125157</v>
      </c>
      <c r="AB38" s="14">
        <f>IF('Вводные данные'!$E$66="нет",AB39,AB40)</f>
        <v>26651.783285573387</v>
      </c>
      <c r="AC38" s="14">
        <f>IF('Вводные данные'!$E$66="нет",AC39,AC40)</f>
        <v>26807.252021405904</v>
      </c>
      <c r="AD38" s="14">
        <f>IF('Вводные данные'!$E$66="нет",AD39,AD40)</f>
        <v>26963.627658197438</v>
      </c>
      <c r="AE38" s="14">
        <f>IF('Вводные данные'!$E$66="нет",AE39,AE40)</f>
        <v>27120.91548620359</v>
      </c>
      <c r="AF38" s="14">
        <f>IF('Вводные данные'!$E$66="нет",AF39,AF40)</f>
        <v>27279.120826539776</v>
      </c>
      <c r="AG38" s="14">
        <f>IF('Вводные данные'!$E$66="нет",AG39,AG40)</f>
        <v>27438.249031361262</v>
      </c>
      <c r="AH38" s="14">
        <f>IF('Вводные данные'!$E$66="нет",AH39,AH40)</f>
        <v>27598.305484044206</v>
      </c>
      <c r="AI38" s="14">
        <f>IF('Вводные данные'!$E$66="нет",AI39,AI40)</f>
        <v>27759.295599367793</v>
      </c>
      <c r="AJ38" s="14">
        <f>IF('Вводные данные'!$E$66="нет",AJ39,AJ40)</f>
        <v>27921.224823697445</v>
      </c>
      <c r="AK38" s="14">
        <f>IF('Вводные данные'!$E$66="нет",AK39,AK40)</f>
        <v>28084.098635169015</v>
      </c>
      <c r="AL38" s="14">
        <f>IF('Вводные данные'!$E$66="нет",AL39,AL40)</f>
        <v>28247.922543874167</v>
      </c>
      <c r="AM38" s="14">
        <f>IF('Вводные данные'!$E$66="нет",AM39,AM40)</f>
        <v>28412.702092046766</v>
      </c>
      <c r="AN38" s="14">
        <f>IF('Вводные данные'!$E$66="нет",AN39,AN40)</f>
        <v>28578.442854250374</v>
      </c>
      <c r="AO38" s="14">
        <f>IF('Вводные данные'!$E$66="нет",AO39,AO40)</f>
        <v>28745.150437566834</v>
      </c>
      <c r="AP38" s="14">
        <f>IF('Вводные данные'!$E$66="нет",AP39,AP40)</f>
        <v>28912.830481785979</v>
      </c>
      <c r="AQ38" s="14">
        <f>IF('Вводные данные'!$E$66="нет",AQ39,AQ40)</f>
        <v>29081.488659596398</v>
      </c>
      <c r="AR38" s="14">
        <f>IF('Вводные данные'!$E$66="нет",AR39,AR40)</f>
        <v>29251.130676777382</v>
      </c>
      <c r="AS38" s="14">
        <f>IF('Вводные данные'!$E$66="нет",AS39,AS40)</f>
        <v>29421.762272391916</v>
      </c>
      <c r="AT38" s="14">
        <f>IF('Вводные данные'!$E$66="нет",AT39,AT40)</f>
        <v>29593.389218980868</v>
      </c>
      <c r="AU38" s="14">
        <f>IF('Вводные данные'!$E$66="нет",AU39,AU40)</f>
        <v>29766.01732275826</v>
      </c>
      <c r="AV38" s="14">
        <f>IF('Вводные данные'!$E$66="нет",AV39,AV40)</f>
        <v>29939.652423807682</v>
      </c>
      <c r="AW38" s="14">
        <f>IF('Вводные данные'!$E$66="нет",AW39,AW40)</f>
        <v>30114.300396279898</v>
      </c>
      <c r="AX38" s="14">
        <f>IF('Вводные данные'!$E$66="нет",AX39,AX40)</f>
        <v>30289.967148591528</v>
      </c>
      <c r="AY38" s="14">
        <f>IF('Вводные данные'!$E$66="нет",AY39,AY40)</f>
        <v>30466.658623624982</v>
      </c>
      <c r="AZ38" s="14">
        <f>IF('Вводные данные'!$E$66="нет",AZ39,AZ40)</f>
        <v>30644.380798929462</v>
      </c>
      <c r="BA38" s="14">
        <f>IF('Вводные данные'!$E$66="нет",BA39,BA40)</f>
        <v>30823.139686923219</v>
      </c>
      <c r="BB38" s="14">
        <f>IF('Вводные данные'!$E$66="нет",BB39,BB40)</f>
        <v>31002.941335096941</v>
      </c>
      <c r="BC38" s="14">
        <f>IF('Вводные данные'!$E$66="нет",BC39,BC40)</f>
        <v>31183.791826218338</v>
      </c>
      <c r="BD38" s="14">
        <f>IF('Вводные данные'!$E$66="нет",BD39,BD40)</f>
        <v>31365.697278537948</v>
      </c>
      <c r="BE38" s="14">
        <f>IF('Вводные данные'!$E$66="нет",BE39,BE40)</f>
        <v>31548.663845996085</v>
      </c>
      <c r="BF38" s="14">
        <f>IF('Вводные данные'!$E$66="нет",BF39,BF40)</f>
        <v>31732.697718431064</v>
      </c>
      <c r="BG38" s="14">
        <f>IF('Вводные данные'!$E$66="нет",BG39,BG40)</f>
        <v>31917.805121788577</v>
      </c>
      <c r="BH38" s="14">
        <f>IF('Вводные данные'!$E$66="нет",BH39,BH40)</f>
        <v>32103.992318332348</v>
      </c>
      <c r="BI38" s="14">
        <f>IF('Вводные данные'!$E$66="нет",BI39,BI40)</f>
        <v>32291.265606855952</v>
      </c>
      <c r="BJ38" s="14">
        <f>IF('Вводные данные'!$E$66="нет",BJ39,BJ40)</f>
        <v>32479.631322895948</v>
      </c>
      <c r="BK38" s="14">
        <f>IF('Вводные данные'!$E$66="нет",BK39,BK40)</f>
        <v>32669.09583894617</v>
      </c>
      <c r="BL38" s="14">
        <f>IF('Вводные данные'!$E$66="нет",BL39,BL40)</f>
        <v>32859.665564673356</v>
      </c>
      <c r="BM38" s="14">
        <f>IF('Вводные данные'!$E$66="нет",BM39,BM40)</f>
        <v>33051.346947133956</v>
      </c>
      <c r="BN38" s="14"/>
      <c r="BO38" s="14"/>
      <c r="BP38" s="107">
        <f>SUM(F38:Q38)</f>
        <v>300000</v>
      </c>
      <c r="BQ38" s="107">
        <f>SUM(R38:AC38)</f>
        <v>311621.88426241599</v>
      </c>
      <c r="BR38" s="107">
        <f>SUM(AD38:AO38)</f>
        <v>334149.05547231867</v>
      </c>
      <c r="BS38" s="107">
        <f>SUM(AP38:BA38)</f>
        <v>358304.71771044761</v>
      </c>
      <c r="BT38" s="107">
        <f>SUM(BB38:BM38)</f>
        <v>384206.59472490667</v>
      </c>
      <c r="BU38" s="107">
        <f>SUM(BP38:BT38)</f>
        <v>1688282.2521700889</v>
      </c>
    </row>
    <row r="39" spans="1:73" outlineLevel="1" x14ac:dyDescent="0.2">
      <c r="C39" s="205" t="s">
        <v>127</v>
      </c>
      <c r="D39" s="202"/>
      <c r="F39" s="229">
        <f>'Вводные данные'!$E$20</f>
        <v>25000</v>
      </c>
      <c r="G39" s="229">
        <f>'Вводные данные'!$E$20</f>
        <v>25000</v>
      </c>
      <c r="H39" s="229">
        <f>'Вводные данные'!$E$20</f>
        <v>25000</v>
      </c>
      <c r="I39" s="229">
        <f>'Вводные данные'!$E$20</f>
        <v>25000</v>
      </c>
      <c r="J39" s="229">
        <f>'Вводные данные'!$E$20</f>
        <v>25000</v>
      </c>
      <c r="K39" s="229">
        <f>'Вводные данные'!$E$20</f>
        <v>25000</v>
      </c>
      <c r="L39" s="229">
        <f>'Вводные данные'!$E$20</f>
        <v>25000</v>
      </c>
      <c r="M39" s="229">
        <f>'Вводные данные'!$E$20</f>
        <v>25000</v>
      </c>
      <c r="N39" s="229">
        <f>'Вводные данные'!$E$20</f>
        <v>25000</v>
      </c>
      <c r="O39" s="229">
        <f>'Вводные данные'!$E$20</f>
        <v>25000</v>
      </c>
      <c r="P39" s="229">
        <f>'Вводные данные'!$E$20</f>
        <v>25000</v>
      </c>
      <c r="Q39" s="229">
        <f>'Вводные данные'!$E$20</f>
        <v>25000</v>
      </c>
      <c r="R39" s="229">
        <f>'Вводные данные'!$E$20</f>
        <v>25000</v>
      </c>
      <c r="S39" s="229">
        <f>'Вводные данные'!$E$20</f>
        <v>25000</v>
      </c>
      <c r="T39" s="229">
        <f>'Вводные данные'!$E$20</f>
        <v>25000</v>
      </c>
      <c r="U39" s="229">
        <f>'Вводные данные'!$E$20</f>
        <v>25000</v>
      </c>
      <c r="V39" s="229">
        <f>'Вводные данные'!$E$20</f>
        <v>25000</v>
      </c>
      <c r="W39" s="229">
        <f>'Вводные данные'!$E$20</f>
        <v>25000</v>
      </c>
      <c r="X39" s="229">
        <f>'Вводные данные'!$E$20</f>
        <v>25000</v>
      </c>
      <c r="Y39" s="229">
        <f>'Вводные данные'!$E$20</f>
        <v>25000</v>
      </c>
      <c r="Z39" s="229">
        <f>'Вводные данные'!$E$20</f>
        <v>25000</v>
      </c>
      <c r="AA39" s="229">
        <f>'Вводные данные'!$E$20</f>
        <v>25000</v>
      </c>
      <c r="AB39" s="229">
        <f>'Вводные данные'!$E$20</f>
        <v>25000</v>
      </c>
      <c r="AC39" s="229">
        <f>'Вводные данные'!$E$20</f>
        <v>25000</v>
      </c>
      <c r="AD39" s="229">
        <f>'Вводные данные'!$E$20</f>
        <v>25000</v>
      </c>
      <c r="AE39" s="229">
        <f>'Вводные данные'!$E$20</f>
        <v>25000</v>
      </c>
      <c r="AF39" s="229">
        <f>'Вводные данные'!$E$20</f>
        <v>25000</v>
      </c>
      <c r="AG39" s="229">
        <f>'Вводные данные'!$E$20</f>
        <v>25000</v>
      </c>
      <c r="AH39" s="229">
        <f>'Вводные данные'!$E$20</f>
        <v>25000</v>
      </c>
      <c r="AI39" s="229">
        <f>'Вводные данные'!$E$20</f>
        <v>25000</v>
      </c>
      <c r="AJ39" s="229">
        <f>'Вводные данные'!$E$20</f>
        <v>25000</v>
      </c>
      <c r="AK39" s="229">
        <f>'Вводные данные'!$E$20</f>
        <v>25000</v>
      </c>
      <c r="AL39" s="229">
        <f>'Вводные данные'!$E$20</f>
        <v>25000</v>
      </c>
      <c r="AM39" s="229">
        <f>'Вводные данные'!$E$20</f>
        <v>25000</v>
      </c>
      <c r="AN39" s="229">
        <f>'Вводные данные'!$E$20</f>
        <v>25000</v>
      </c>
      <c r="AO39" s="229">
        <f>'Вводные данные'!$E$20</f>
        <v>25000</v>
      </c>
      <c r="AP39" s="229">
        <f>'Вводные данные'!$E$20</f>
        <v>25000</v>
      </c>
      <c r="AQ39" s="229">
        <f>'Вводные данные'!$E$20</f>
        <v>25000</v>
      </c>
      <c r="AR39" s="229">
        <f>'Вводные данные'!$E$20</f>
        <v>25000</v>
      </c>
      <c r="AS39" s="229">
        <f>'Вводные данные'!$E$20</f>
        <v>25000</v>
      </c>
      <c r="AT39" s="229">
        <f>'Вводные данные'!$E$20</f>
        <v>25000</v>
      </c>
      <c r="AU39" s="229">
        <f>'Вводные данные'!$E$20</f>
        <v>25000</v>
      </c>
      <c r="AV39" s="229">
        <f>'Вводные данные'!$E$20</f>
        <v>25000</v>
      </c>
      <c r="AW39" s="229">
        <f>'Вводные данные'!$E$20</f>
        <v>25000</v>
      </c>
      <c r="AX39" s="229">
        <f>'Вводные данные'!$E$20</f>
        <v>25000</v>
      </c>
      <c r="AY39" s="229">
        <f>'Вводные данные'!$E$20</f>
        <v>25000</v>
      </c>
      <c r="AZ39" s="229">
        <f>'Вводные данные'!$E$20</f>
        <v>25000</v>
      </c>
      <c r="BA39" s="229">
        <f>'Вводные данные'!$E$20</f>
        <v>25000</v>
      </c>
      <c r="BB39" s="229">
        <f>'Вводные данные'!$E$20</f>
        <v>25000</v>
      </c>
      <c r="BC39" s="229">
        <f>'Вводные данные'!$E$20</f>
        <v>25000</v>
      </c>
      <c r="BD39" s="229">
        <f>'Вводные данные'!$E$20</f>
        <v>25000</v>
      </c>
      <c r="BE39" s="229">
        <f>'Вводные данные'!$E$20</f>
        <v>25000</v>
      </c>
      <c r="BF39" s="229">
        <f>'Вводные данные'!$E$20</f>
        <v>25000</v>
      </c>
      <c r="BG39" s="229">
        <f>'Вводные данные'!$E$20</f>
        <v>25000</v>
      </c>
      <c r="BH39" s="229">
        <f>'Вводные данные'!$E$20</f>
        <v>25000</v>
      </c>
      <c r="BI39" s="229">
        <f>'Вводные данные'!$E$20</f>
        <v>25000</v>
      </c>
      <c r="BJ39" s="229">
        <f>'Вводные данные'!$E$20</f>
        <v>25000</v>
      </c>
      <c r="BK39" s="229">
        <f>'Вводные данные'!$E$20</f>
        <v>25000</v>
      </c>
      <c r="BL39" s="229">
        <f>'Вводные данные'!$E$20</f>
        <v>25000</v>
      </c>
      <c r="BM39" s="229">
        <f>'Вводные данные'!$E$20</f>
        <v>25000</v>
      </c>
      <c r="BN39" s="30"/>
      <c r="BO39" s="229"/>
    </row>
    <row r="40" spans="1:73" outlineLevel="1" x14ac:dyDescent="0.2">
      <c r="C40" s="205" t="s">
        <v>128</v>
      </c>
      <c r="D40" s="202"/>
      <c r="F40" s="229">
        <f t="shared" ref="F40:AK40" si="68">F39*F8</f>
        <v>25000</v>
      </c>
      <c r="G40" s="229">
        <f t="shared" si="68"/>
        <v>25000</v>
      </c>
      <c r="H40" s="229">
        <f t="shared" si="68"/>
        <v>25000</v>
      </c>
      <c r="I40" s="229">
        <f t="shared" si="68"/>
        <v>25000</v>
      </c>
      <c r="J40" s="229">
        <f t="shared" si="68"/>
        <v>25000</v>
      </c>
      <c r="K40" s="229">
        <f t="shared" si="68"/>
        <v>25000</v>
      </c>
      <c r="L40" s="229">
        <f t="shared" si="68"/>
        <v>25000</v>
      </c>
      <c r="M40" s="229">
        <f t="shared" si="68"/>
        <v>25000</v>
      </c>
      <c r="N40" s="229">
        <f t="shared" si="68"/>
        <v>25000</v>
      </c>
      <c r="O40" s="229">
        <f t="shared" si="68"/>
        <v>25000</v>
      </c>
      <c r="P40" s="229">
        <f t="shared" si="68"/>
        <v>25000</v>
      </c>
      <c r="Q40" s="229">
        <f t="shared" si="68"/>
        <v>25000</v>
      </c>
      <c r="R40" s="229">
        <f t="shared" si="68"/>
        <v>25145.833333333332</v>
      </c>
      <c r="S40" s="229">
        <f t="shared" si="68"/>
        <v>25292.517361111109</v>
      </c>
      <c r="T40" s="229">
        <f t="shared" si="68"/>
        <v>25440.057045717596</v>
      </c>
      <c r="U40" s="229">
        <f t="shared" si="68"/>
        <v>25588.45737848428</v>
      </c>
      <c r="V40" s="229">
        <f t="shared" si="68"/>
        <v>25737.723379858773</v>
      </c>
      <c r="W40" s="229">
        <f t="shared" si="68"/>
        <v>25887.860099574616</v>
      </c>
      <c r="X40" s="229">
        <f t="shared" si="68"/>
        <v>26038.872616822133</v>
      </c>
      <c r="Y40" s="229">
        <f t="shared" si="68"/>
        <v>26190.766040420265</v>
      </c>
      <c r="Z40" s="229">
        <f t="shared" si="68"/>
        <v>26343.545508989384</v>
      </c>
      <c r="AA40" s="229">
        <f t="shared" si="68"/>
        <v>26497.216191125157</v>
      </c>
      <c r="AB40" s="229">
        <f t="shared" si="68"/>
        <v>26651.783285573387</v>
      </c>
      <c r="AC40" s="229">
        <f t="shared" si="68"/>
        <v>26807.252021405904</v>
      </c>
      <c r="AD40" s="229">
        <f t="shared" si="68"/>
        <v>26963.627658197438</v>
      </c>
      <c r="AE40" s="229">
        <f t="shared" si="68"/>
        <v>27120.91548620359</v>
      </c>
      <c r="AF40" s="229">
        <f t="shared" si="68"/>
        <v>27279.120826539776</v>
      </c>
      <c r="AG40" s="229">
        <f t="shared" si="68"/>
        <v>27438.249031361262</v>
      </c>
      <c r="AH40" s="229">
        <f t="shared" si="68"/>
        <v>27598.305484044206</v>
      </c>
      <c r="AI40" s="229">
        <f t="shared" si="68"/>
        <v>27759.295599367793</v>
      </c>
      <c r="AJ40" s="229">
        <f t="shared" si="68"/>
        <v>27921.224823697445</v>
      </c>
      <c r="AK40" s="229">
        <f t="shared" si="68"/>
        <v>28084.098635169015</v>
      </c>
      <c r="AL40" s="229">
        <f t="shared" ref="AL40:BM40" si="69">AL39*AL8</f>
        <v>28247.922543874167</v>
      </c>
      <c r="AM40" s="229">
        <f t="shared" si="69"/>
        <v>28412.702092046766</v>
      </c>
      <c r="AN40" s="229">
        <f t="shared" si="69"/>
        <v>28578.442854250374</v>
      </c>
      <c r="AO40" s="229">
        <f t="shared" si="69"/>
        <v>28745.150437566834</v>
      </c>
      <c r="AP40" s="229">
        <f t="shared" si="69"/>
        <v>28912.830481785979</v>
      </c>
      <c r="AQ40" s="229">
        <f t="shared" si="69"/>
        <v>29081.488659596398</v>
      </c>
      <c r="AR40" s="229">
        <f t="shared" si="69"/>
        <v>29251.130676777382</v>
      </c>
      <c r="AS40" s="229">
        <f t="shared" si="69"/>
        <v>29421.762272391916</v>
      </c>
      <c r="AT40" s="229">
        <f t="shared" si="69"/>
        <v>29593.389218980868</v>
      </c>
      <c r="AU40" s="229">
        <f t="shared" si="69"/>
        <v>29766.01732275826</v>
      </c>
      <c r="AV40" s="229">
        <f t="shared" si="69"/>
        <v>29939.652423807682</v>
      </c>
      <c r="AW40" s="229">
        <f t="shared" si="69"/>
        <v>30114.300396279898</v>
      </c>
      <c r="AX40" s="229">
        <f t="shared" si="69"/>
        <v>30289.967148591528</v>
      </c>
      <c r="AY40" s="229">
        <f t="shared" si="69"/>
        <v>30466.658623624982</v>
      </c>
      <c r="AZ40" s="229">
        <f t="shared" si="69"/>
        <v>30644.380798929462</v>
      </c>
      <c r="BA40" s="229">
        <f t="shared" si="69"/>
        <v>30823.139686923219</v>
      </c>
      <c r="BB40" s="229">
        <f t="shared" si="69"/>
        <v>31002.941335096941</v>
      </c>
      <c r="BC40" s="229">
        <f t="shared" si="69"/>
        <v>31183.791826218338</v>
      </c>
      <c r="BD40" s="229">
        <f t="shared" si="69"/>
        <v>31365.697278537948</v>
      </c>
      <c r="BE40" s="229">
        <f t="shared" si="69"/>
        <v>31548.663845996085</v>
      </c>
      <c r="BF40" s="229">
        <f t="shared" si="69"/>
        <v>31732.697718431064</v>
      </c>
      <c r="BG40" s="229">
        <f t="shared" si="69"/>
        <v>31917.805121788577</v>
      </c>
      <c r="BH40" s="229">
        <f t="shared" si="69"/>
        <v>32103.992318332348</v>
      </c>
      <c r="BI40" s="229">
        <f t="shared" si="69"/>
        <v>32291.265606855952</v>
      </c>
      <c r="BJ40" s="229">
        <f t="shared" si="69"/>
        <v>32479.631322895948</v>
      </c>
      <c r="BK40" s="229">
        <f t="shared" si="69"/>
        <v>32669.09583894617</v>
      </c>
      <c r="BL40" s="229">
        <f t="shared" si="69"/>
        <v>32859.665564673356</v>
      </c>
      <c r="BM40" s="229">
        <f t="shared" si="69"/>
        <v>33051.346947133956</v>
      </c>
      <c r="BN40" s="30"/>
      <c r="BO40" s="229"/>
    </row>
    <row r="41" spans="1:73" x14ac:dyDescent="0.2">
      <c r="AB41" s="234"/>
      <c r="AC41" s="233"/>
      <c r="BN41" s="30"/>
    </row>
    <row r="42" spans="1:73" s="44" customFormat="1" ht="15.75" thickBot="1" x14ac:dyDescent="0.25">
      <c r="A42" s="17"/>
      <c r="B42" s="17"/>
      <c r="C42" s="17" t="s">
        <v>147</v>
      </c>
      <c r="D42" s="38" t="s">
        <v>25</v>
      </c>
      <c r="E42" s="17"/>
      <c r="F42" s="18">
        <f>F12+F22+F33+F38</f>
        <v>543580</v>
      </c>
      <c r="G42" s="18">
        <f t="shared" ref="G42:BM42" si="70">G12+G22+G33+G38</f>
        <v>647296</v>
      </c>
      <c r="H42" s="18">
        <f t="shared" si="70"/>
        <v>751011.99999999988</v>
      </c>
      <c r="I42" s="18">
        <f t="shared" si="70"/>
        <v>751011.99999999988</v>
      </c>
      <c r="J42" s="18">
        <f t="shared" si="70"/>
        <v>751011.99999999988</v>
      </c>
      <c r="K42" s="18">
        <f t="shared" si="70"/>
        <v>751011.99999999988</v>
      </c>
      <c r="L42" s="18">
        <f t="shared" si="70"/>
        <v>751011.99999999988</v>
      </c>
      <c r="M42" s="18">
        <f t="shared" si="70"/>
        <v>751011.99999999988</v>
      </c>
      <c r="N42" s="18">
        <f t="shared" si="70"/>
        <v>751011.99999999988</v>
      </c>
      <c r="O42" s="18">
        <f t="shared" si="70"/>
        <v>751011.99999999988</v>
      </c>
      <c r="P42" s="18">
        <f t="shared" si="70"/>
        <v>751011.99999999988</v>
      </c>
      <c r="Q42" s="18">
        <f t="shared" si="70"/>
        <v>751011.99999999988</v>
      </c>
      <c r="R42" s="18">
        <f t="shared" si="70"/>
        <v>893316.79333333333</v>
      </c>
      <c r="S42" s="18">
        <f t="shared" si="70"/>
        <v>898527.80796111107</v>
      </c>
      <c r="T42" s="18">
        <f t="shared" si="70"/>
        <v>903769.22017421771</v>
      </c>
      <c r="U42" s="18">
        <f t="shared" si="70"/>
        <v>909041.20729190076</v>
      </c>
      <c r="V42" s="18">
        <f t="shared" si="70"/>
        <v>914343.9476677702</v>
      </c>
      <c r="W42" s="18">
        <f t="shared" si="70"/>
        <v>919677.62069583207</v>
      </c>
      <c r="X42" s="18">
        <f t="shared" si="70"/>
        <v>925042.40681655775</v>
      </c>
      <c r="Y42" s="18">
        <f t="shared" si="70"/>
        <v>930438.48752298777</v>
      </c>
      <c r="Z42" s="18">
        <f t="shared" si="70"/>
        <v>935866.04536687187</v>
      </c>
      <c r="AA42" s="18">
        <f t="shared" si="70"/>
        <v>941325.26396484522</v>
      </c>
      <c r="AB42" s="18">
        <f t="shared" si="70"/>
        <v>946816.32800464029</v>
      </c>
      <c r="AC42" s="18">
        <f t="shared" si="70"/>
        <v>952339.42325133411</v>
      </c>
      <c r="AD42" s="18">
        <f t="shared" si="70"/>
        <v>957894.73655363359</v>
      </c>
      <c r="AE42" s="18">
        <f t="shared" si="70"/>
        <v>963482.45585019642</v>
      </c>
      <c r="AF42" s="18">
        <f t="shared" si="70"/>
        <v>969102.77017598937</v>
      </c>
      <c r="AG42" s="18">
        <f t="shared" si="70"/>
        <v>974755.86966868269</v>
      </c>
      <c r="AH42" s="18">
        <f t="shared" si="70"/>
        <v>980441.94557508361</v>
      </c>
      <c r="AI42" s="18">
        <f t="shared" si="70"/>
        <v>986161.1902576047</v>
      </c>
      <c r="AJ42" s="18">
        <f t="shared" si="70"/>
        <v>991913.79720077431</v>
      </c>
      <c r="AK42" s="18">
        <f t="shared" si="70"/>
        <v>997699.96101777861</v>
      </c>
      <c r="AL42" s="18">
        <f t="shared" si="70"/>
        <v>1003519.877457049</v>
      </c>
      <c r="AM42" s="18">
        <f t="shared" si="70"/>
        <v>1009373.7434088818</v>
      </c>
      <c r="AN42" s="18">
        <f t="shared" si="70"/>
        <v>1015261.7569121004</v>
      </c>
      <c r="AO42" s="18">
        <f t="shared" si="70"/>
        <v>1021184.1171607544</v>
      </c>
      <c r="AP42" s="18">
        <f t="shared" si="70"/>
        <v>1151919.5487644931</v>
      </c>
      <c r="AQ42" s="18">
        <f t="shared" si="70"/>
        <v>1158639.0794656193</v>
      </c>
      <c r="AR42" s="18">
        <f t="shared" si="70"/>
        <v>1165397.8074291688</v>
      </c>
      <c r="AS42" s="18">
        <f t="shared" si="70"/>
        <v>1172195.961305839</v>
      </c>
      <c r="AT42" s="18">
        <f t="shared" si="70"/>
        <v>1179033.7710801233</v>
      </c>
      <c r="AU42" s="18">
        <f t="shared" si="70"/>
        <v>1185911.4680780903</v>
      </c>
      <c r="AV42" s="18">
        <f t="shared" si="70"/>
        <v>1192829.2849752128</v>
      </c>
      <c r="AW42" s="18">
        <f t="shared" si="70"/>
        <v>1199787.4558042351</v>
      </c>
      <c r="AX42" s="18">
        <f t="shared" si="70"/>
        <v>1206786.2159630931</v>
      </c>
      <c r="AY42" s="18">
        <f t="shared" si="70"/>
        <v>1213825.8022228777</v>
      </c>
      <c r="AZ42" s="18">
        <f t="shared" si="70"/>
        <v>1220906.4527358445</v>
      </c>
      <c r="BA42" s="18">
        <f t="shared" si="70"/>
        <v>1228028.4070434705</v>
      </c>
      <c r="BB42" s="18">
        <f t="shared" si="70"/>
        <v>1368990.6799456086</v>
      </c>
      <c r="BC42" s="18">
        <f t="shared" si="70"/>
        <v>1376976.4589119579</v>
      </c>
      <c r="BD42" s="18">
        <f t="shared" si="70"/>
        <v>1385008.8215889446</v>
      </c>
      <c r="BE42" s="18">
        <f t="shared" si="70"/>
        <v>1393088.0397148801</v>
      </c>
      <c r="BF42" s="18">
        <f t="shared" si="70"/>
        <v>1401214.3866132167</v>
      </c>
      <c r="BG42" s="18">
        <f t="shared" si="70"/>
        <v>1409388.1372017937</v>
      </c>
      <c r="BH42" s="18">
        <f t="shared" si="70"/>
        <v>1417609.5680021381</v>
      </c>
      <c r="BI42" s="18">
        <f t="shared" si="70"/>
        <v>1425878.9571488169</v>
      </c>
      <c r="BJ42" s="18">
        <f t="shared" si="70"/>
        <v>1434196.5843988517</v>
      </c>
      <c r="BK42" s="18">
        <f t="shared" si="70"/>
        <v>1442562.7311411784</v>
      </c>
      <c r="BL42" s="18">
        <f t="shared" si="70"/>
        <v>1450977.6804061686</v>
      </c>
      <c r="BM42" s="18">
        <f t="shared" si="70"/>
        <v>1459441.7168752046</v>
      </c>
      <c r="BN42" s="18"/>
      <c r="BO42" s="18">
        <f t="shared" si="57"/>
        <v>62882887.790106766</v>
      </c>
      <c r="BP42" s="18">
        <f>SUM(F42:Q42)</f>
        <v>8700996</v>
      </c>
      <c r="BQ42" s="18">
        <f>SUM(R42:AC42)</f>
        <v>11070504.552051403</v>
      </c>
      <c r="BR42" s="18">
        <f>SUM(AD42:AO42)</f>
        <v>11870792.221238529</v>
      </c>
      <c r="BS42" s="18">
        <f>SUM(AP42:BA42)</f>
        <v>14275261.254868068</v>
      </c>
      <c r="BT42" s="18">
        <f>SUM(BB42:BM42)</f>
        <v>16965333.761948761</v>
      </c>
      <c r="BU42" s="18">
        <f>SUM(BP42:BT42)</f>
        <v>62882887.790106758</v>
      </c>
    </row>
    <row r="43" spans="1:73" outlineLevel="1" x14ac:dyDescent="0.2">
      <c r="F43" s="235"/>
      <c r="G43" s="235"/>
      <c r="H43" s="235"/>
      <c r="I43" s="235"/>
      <c r="J43" s="235"/>
      <c r="K43" s="235"/>
      <c r="L43" s="235"/>
      <c r="M43" s="235"/>
      <c r="N43" s="235"/>
      <c r="O43" s="235"/>
      <c r="P43" s="235"/>
      <c r="Q43" s="236"/>
      <c r="R43" s="235"/>
      <c r="S43" s="235"/>
      <c r="T43" s="235"/>
      <c r="U43" s="235"/>
      <c r="V43" s="235"/>
      <c r="W43" s="235"/>
      <c r="X43" s="235"/>
      <c r="Y43" s="235"/>
      <c r="Z43" s="235"/>
      <c r="AA43" s="235"/>
      <c r="AB43" s="235"/>
      <c r="AC43" s="236"/>
      <c r="AD43" s="235"/>
      <c r="AE43" s="235"/>
      <c r="AF43" s="235"/>
      <c r="AG43" s="235"/>
      <c r="AH43" s="235"/>
      <c r="AI43" s="235"/>
      <c r="AJ43" s="235"/>
      <c r="AK43" s="235"/>
      <c r="AL43" s="235"/>
      <c r="AM43" s="235"/>
      <c r="AN43" s="235"/>
      <c r="AO43" s="236"/>
      <c r="AP43" s="235"/>
      <c r="AQ43" s="235"/>
      <c r="AR43" s="235"/>
      <c r="AS43" s="235"/>
      <c r="AT43" s="235"/>
      <c r="AU43" s="235"/>
      <c r="AV43" s="235"/>
      <c r="AW43" s="235"/>
      <c r="AX43" s="235"/>
      <c r="AY43" s="235"/>
      <c r="AZ43" s="235"/>
      <c r="BA43" s="236"/>
      <c r="BB43" s="235"/>
      <c r="BC43" s="235"/>
      <c r="BD43" s="235"/>
      <c r="BE43" s="235"/>
      <c r="BF43" s="235"/>
      <c r="BG43" s="235"/>
      <c r="BH43" s="235"/>
      <c r="BI43" s="235"/>
      <c r="BJ43" s="235"/>
      <c r="BK43" s="235"/>
      <c r="BL43" s="235"/>
      <c r="BM43" s="235"/>
      <c r="BN43" s="235"/>
      <c r="BO43" s="235"/>
      <c r="BP43" s="113" t="e">
        <f>BP12+#REF!+#REF!+BP22+BP33+BP38</f>
        <v>#REF!</v>
      </c>
      <c r="BQ43" s="113" t="e">
        <f>BQ12+#REF!+#REF!+BQ22+BQ33+BQ38</f>
        <v>#REF!</v>
      </c>
      <c r="BR43" s="113" t="e">
        <f>BR12+#REF!+#REF!+BR22+BR33+BR38</f>
        <v>#REF!</v>
      </c>
      <c r="BS43" s="113" t="e">
        <f>BS12+#REF!+#REF!+BS22+BS33+BS38</f>
        <v>#REF!</v>
      </c>
      <c r="BT43" s="113" t="e">
        <f>BT12+#REF!+#REF!+BT22+BT33+BT38</f>
        <v>#REF!</v>
      </c>
      <c r="BU43" s="113" t="e">
        <f>SUM(BP43:BT43)</f>
        <v>#REF!</v>
      </c>
    </row>
    <row r="44" spans="1:73" outlineLevel="1" x14ac:dyDescent="0.2">
      <c r="R44" s="237">
        <f>R43*5%+R43</f>
        <v>0</v>
      </c>
      <c r="S44" s="237">
        <f>R44-R43</f>
        <v>0</v>
      </c>
      <c r="T44" s="234" t="e">
        <f>S44/R43</f>
        <v>#DIV/0!</v>
      </c>
      <c r="AB44" s="234"/>
      <c r="AC44" s="237"/>
    </row>
    <row r="45" spans="1:73" s="201" customFormat="1" ht="15.75" thickBot="1" x14ac:dyDescent="0.25">
      <c r="A45" s="219"/>
      <c r="B45" s="219"/>
      <c r="C45" s="8" t="s">
        <v>148</v>
      </c>
      <c r="D45" s="9"/>
      <c r="E45" s="9"/>
      <c r="F45" s="10"/>
      <c r="G45" s="219"/>
      <c r="H45" s="219"/>
      <c r="I45" s="219"/>
      <c r="J45" s="219"/>
      <c r="K45" s="219"/>
      <c r="L45" s="219"/>
      <c r="M45" s="219"/>
      <c r="N45" s="219"/>
      <c r="O45" s="219"/>
      <c r="P45" s="219"/>
      <c r="Q45" s="219"/>
      <c r="R45" s="219"/>
      <c r="S45" s="219"/>
      <c r="T45" s="219"/>
      <c r="U45" s="219"/>
      <c r="V45" s="219"/>
      <c r="W45" s="219"/>
      <c r="X45" s="219"/>
      <c r="Y45" s="219"/>
      <c r="Z45" s="219"/>
      <c r="AA45" s="219"/>
      <c r="AB45" s="219"/>
      <c r="AC45" s="219"/>
      <c r="AD45" s="219"/>
      <c r="AE45" s="219"/>
      <c r="AF45" s="219"/>
      <c r="AG45" s="219"/>
      <c r="AH45" s="219"/>
      <c r="AI45" s="219"/>
      <c r="AJ45" s="219"/>
      <c r="AK45" s="219"/>
      <c r="AL45" s="219"/>
      <c r="AM45" s="219"/>
      <c r="AN45" s="219"/>
      <c r="AO45" s="219"/>
      <c r="AP45" s="219"/>
      <c r="AQ45" s="219"/>
      <c r="AR45" s="219"/>
      <c r="AS45" s="219"/>
      <c r="AT45" s="219"/>
      <c r="AU45" s="219"/>
      <c r="AV45" s="219"/>
      <c r="AW45" s="219"/>
      <c r="AX45" s="219"/>
      <c r="AY45" s="219"/>
      <c r="AZ45" s="219"/>
      <c r="BA45" s="219"/>
      <c r="BB45" s="219"/>
      <c r="BC45" s="219"/>
      <c r="BD45" s="219"/>
      <c r="BE45" s="219"/>
      <c r="BF45" s="219"/>
      <c r="BG45" s="219"/>
      <c r="BH45" s="219"/>
      <c r="BI45" s="219"/>
      <c r="BJ45" s="219"/>
      <c r="BK45" s="219"/>
      <c r="BL45" s="219"/>
      <c r="BM45" s="219"/>
      <c r="BN45" s="219"/>
      <c r="BO45" s="219"/>
      <c r="BP45" s="219"/>
      <c r="BQ45" s="219"/>
      <c r="BR45" s="219"/>
      <c r="BS45" s="219"/>
      <c r="BT45" s="219"/>
      <c r="BU45" s="219"/>
    </row>
    <row r="46" spans="1:73" ht="15.75" outlineLevel="1" thickTop="1" x14ac:dyDescent="0.2">
      <c r="C46" s="225" t="s">
        <v>15</v>
      </c>
      <c r="D46" s="226" t="s">
        <v>2</v>
      </c>
      <c r="F46" s="225">
        <f>'Вводные данные'!$E$10</f>
        <v>54.400000000000006</v>
      </c>
      <c r="G46" s="225">
        <f>'Вводные данные'!$E$10</f>
        <v>54.400000000000006</v>
      </c>
      <c r="H46" s="225">
        <f>'Вводные данные'!$E$10</f>
        <v>54.400000000000006</v>
      </c>
      <c r="I46" s="225">
        <f>'Вводные данные'!$E$10</f>
        <v>54.400000000000006</v>
      </c>
      <c r="J46" s="225">
        <f>'Вводные данные'!$E$10</f>
        <v>54.400000000000006</v>
      </c>
      <c r="K46" s="225">
        <f>'Вводные данные'!$E$10</f>
        <v>54.400000000000006</v>
      </c>
      <c r="L46" s="225">
        <f>'Вводные данные'!$E$10</f>
        <v>54.400000000000006</v>
      </c>
      <c r="M46" s="225">
        <f>'Вводные данные'!$E$10</f>
        <v>54.400000000000006</v>
      </c>
      <c r="N46" s="225">
        <f>'Вводные данные'!$E$10</f>
        <v>54.400000000000006</v>
      </c>
      <c r="O46" s="225">
        <f>'Вводные данные'!$E$10</f>
        <v>54.400000000000006</v>
      </c>
      <c r="P46" s="225">
        <f>'Вводные данные'!$E$10</f>
        <v>54.400000000000006</v>
      </c>
      <c r="Q46" s="225">
        <f>'Вводные данные'!$E$10</f>
        <v>54.400000000000006</v>
      </c>
      <c r="R46" s="225">
        <f>'Вводные данные'!$E$10</f>
        <v>54.400000000000006</v>
      </c>
      <c r="S46" s="225">
        <f>'Вводные данные'!$E$10</f>
        <v>54.400000000000006</v>
      </c>
      <c r="T46" s="225">
        <f>'Вводные данные'!$E$10</f>
        <v>54.400000000000006</v>
      </c>
      <c r="U46" s="225">
        <f>'Вводные данные'!$E$10</f>
        <v>54.400000000000006</v>
      </c>
      <c r="V46" s="225">
        <f>'Вводные данные'!$E$10</f>
        <v>54.400000000000006</v>
      </c>
      <c r="W46" s="225">
        <f>'Вводные данные'!$E$10</f>
        <v>54.400000000000006</v>
      </c>
      <c r="X46" s="225">
        <f>'Вводные данные'!$E$10</f>
        <v>54.400000000000006</v>
      </c>
      <c r="Y46" s="225">
        <f>'Вводные данные'!$E$10</f>
        <v>54.400000000000006</v>
      </c>
      <c r="Z46" s="225">
        <f>'Вводные данные'!$E$10</f>
        <v>54.400000000000006</v>
      </c>
      <c r="AA46" s="225">
        <f>'Вводные данные'!$E$10</f>
        <v>54.400000000000006</v>
      </c>
      <c r="AB46" s="225">
        <f>'Вводные данные'!$E$10</f>
        <v>54.400000000000006</v>
      </c>
      <c r="AC46" s="225">
        <f>'Вводные данные'!$E$10</f>
        <v>54.400000000000006</v>
      </c>
      <c r="AD46" s="225">
        <f>'Вводные данные'!$E$10</f>
        <v>54.400000000000006</v>
      </c>
      <c r="AE46" s="225">
        <f>'Вводные данные'!$E$10</f>
        <v>54.400000000000006</v>
      </c>
      <c r="AF46" s="225">
        <f>'Вводные данные'!$E$10</f>
        <v>54.400000000000006</v>
      </c>
      <c r="AG46" s="225">
        <f>'Вводные данные'!$E$10</f>
        <v>54.400000000000006</v>
      </c>
      <c r="AH46" s="225">
        <f>'Вводные данные'!$E$10</f>
        <v>54.400000000000006</v>
      </c>
      <c r="AI46" s="225">
        <f>'Вводные данные'!$E$10</f>
        <v>54.400000000000006</v>
      </c>
      <c r="AJ46" s="225">
        <f>'Вводные данные'!$E$10</f>
        <v>54.400000000000006</v>
      </c>
      <c r="AK46" s="225">
        <f>'Вводные данные'!$E$10</f>
        <v>54.400000000000006</v>
      </c>
      <c r="AL46" s="225">
        <f>'Вводные данные'!$E$10</f>
        <v>54.400000000000006</v>
      </c>
      <c r="AM46" s="225">
        <f>'Вводные данные'!$E$10</f>
        <v>54.400000000000006</v>
      </c>
      <c r="AN46" s="225">
        <f>'Вводные данные'!$E$10</f>
        <v>54.400000000000006</v>
      </c>
      <c r="AO46" s="225">
        <f>'Вводные данные'!$E$10</f>
        <v>54.400000000000006</v>
      </c>
      <c r="AP46" s="225">
        <f>'Вводные данные'!$E$10</f>
        <v>54.400000000000006</v>
      </c>
      <c r="AQ46" s="225">
        <f>'Вводные данные'!$E$10</f>
        <v>54.400000000000006</v>
      </c>
      <c r="AR46" s="225">
        <f>'Вводные данные'!$E$10</f>
        <v>54.400000000000006</v>
      </c>
      <c r="AS46" s="225">
        <f>'Вводные данные'!$E$10</f>
        <v>54.400000000000006</v>
      </c>
      <c r="AT46" s="225">
        <f>'Вводные данные'!$E$10</f>
        <v>54.400000000000006</v>
      </c>
      <c r="AU46" s="225">
        <f>'Вводные данные'!$E$10</f>
        <v>54.400000000000006</v>
      </c>
      <c r="AV46" s="225">
        <f>'Вводные данные'!$E$10</f>
        <v>54.400000000000006</v>
      </c>
      <c r="AW46" s="225">
        <f>'Вводные данные'!$E$10</f>
        <v>54.400000000000006</v>
      </c>
      <c r="AX46" s="225">
        <f>'Вводные данные'!$E$10</f>
        <v>54.400000000000006</v>
      </c>
      <c r="AY46" s="225">
        <f>'Вводные данные'!$E$10</f>
        <v>54.400000000000006</v>
      </c>
      <c r="AZ46" s="225">
        <f>'Вводные данные'!$E$10</f>
        <v>54.400000000000006</v>
      </c>
      <c r="BA46" s="225">
        <f>'Вводные данные'!$E$10</f>
        <v>54.400000000000006</v>
      </c>
      <c r="BB46" s="225">
        <f>'Вводные данные'!$E$10</f>
        <v>54.400000000000006</v>
      </c>
      <c r="BC46" s="225">
        <f>'Вводные данные'!$E$10</f>
        <v>54.400000000000006</v>
      </c>
      <c r="BD46" s="225">
        <f>'Вводные данные'!$E$10</f>
        <v>54.400000000000006</v>
      </c>
      <c r="BE46" s="225">
        <f>'Вводные данные'!$E$10</f>
        <v>54.400000000000006</v>
      </c>
      <c r="BF46" s="225">
        <f>'Вводные данные'!$E$10</f>
        <v>54.400000000000006</v>
      </c>
      <c r="BG46" s="225">
        <f>'Вводные данные'!$E$10</f>
        <v>54.400000000000006</v>
      </c>
      <c r="BH46" s="225">
        <f>'Вводные данные'!$E$10</f>
        <v>54.400000000000006</v>
      </c>
      <c r="BI46" s="225">
        <f>'Вводные данные'!$E$10</f>
        <v>54.400000000000006</v>
      </c>
      <c r="BJ46" s="225">
        <f>'Вводные данные'!$E$10</f>
        <v>54.400000000000006</v>
      </c>
      <c r="BK46" s="225">
        <f>'Вводные данные'!$E$10</f>
        <v>54.400000000000006</v>
      </c>
      <c r="BL46" s="225">
        <f>'Вводные данные'!$E$10</f>
        <v>54.400000000000006</v>
      </c>
      <c r="BM46" s="225">
        <f>'Вводные данные'!$E$10</f>
        <v>54.400000000000006</v>
      </c>
    </row>
    <row r="47" spans="1:73" outlineLevel="1" x14ac:dyDescent="0.2">
      <c r="C47" s="225" t="s">
        <v>96</v>
      </c>
      <c r="D47" s="226" t="s">
        <v>97</v>
      </c>
      <c r="F47" s="225">
        <v>30</v>
      </c>
      <c r="G47" s="225">
        <v>30</v>
      </c>
      <c r="H47" s="225">
        <v>30</v>
      </c>
      <c r="I47" s="225">
        <v>30</v>
      </c>
      <c r="J47" s="225">
        <v>30</v>
      </c>
      <c r="K47" s="225">
        <v>30</v>
      </c>
      <c r="L47" s="225">
        <v>30</v>
      </c>
      <c r="M47" s="225">
        <v>30</v>
      </c>
      <c r="N47" s="225">
        <v>30</v>
      </c>
      <c r="O47" s="225">
        <v>30</v>
      </c>
      <c r="P47" s="225">
        <v>30</v>
      </c>
      <c r="Q47" s="225">
        <v>30</v>
      </c>
      <c r="R47" s="225">
        <v>30</v>
      </c>
      <c r="S47" s="225">
        <v>30</v>
      </c>
      <c r="T47" s="225">
        <v>30</v>
      </c>
      <c r="U47" s="225">
        <v>30</v>
      </c>
      <c r="V47" s="225">
        <v>30</v>
      </c>
      <c r="W47" s="225">
        <v>30</v>
      </c>
      <c r="X47" s="225">
        <v>30</v>
      </c>
      <c r="Y47" s="225">
        <v>30</v>
      </c>
      <c r="Z47" s="225">
        <v>30</v>
      </c>
      <c r="AA47" s="225">
        <v>30</v>
      </c>
      <c r="AB47" s="225">
        <v>30</v>
      </c>
      <c r="AC47" s="225">
        <v>30</v>
      </c>
      <c r="AD47" s="225">
        <v>30</v>
      </c>
      <c r="AE47" s="225">
        <v>30</v>
      </c>
      <c r="AF47" s="225">
        <v>30</v>
      </c>
      <c r="AG47" s="225">
        <v>30</v>
      </c>
      <c r="AH47" s="225">
        <v>30</v>
      </c>
      <c r="AI47" s="225">
        <v>30</v>
      </c>
      <c r="AJ47" s="225">
        <v>30</v>
      </c>
      <c r="AK47" s="225">
        <v>30</v>
      </c>
      <c r="AL47" s="225">
        <v>30</v>
      </c>
      <c r="AM47" s="225">
        <v>30</v>
      </c>
      <c r="AN47" s="225">
        <v>30</v>
      </c>
      <c r="AO47" s="225">
        <v>30</v>
      </c>
      <c r="AP47" s="225">
        <v>30</v>
      </c>
      <c r="AQ47" s="225">
        <v>30</v>
      </c>
      <c r="AR47" s="225">
        <v>30</v>
      </c>
      <c r="AS47" s="225">
        <v>30</v>
      </c>
      <c r="AT47" s="225">
        <v>30</v>
      </c>
      <c r="AU47" s="225">
        <v>30</v>
      </c>
      <c r="AV47" s="225">
        <v>30</v>
      </c>
      <c r="AW47" s="225">
        <v>30</v>
      </c>
      <c r="AX47" s="225">
        <v>30</v>
      </c>
      <c r="AY47" s="225">
        <v>30</v>
      </c>
      <c r="AZ47" s="225">
        <v>30</v>
      </c>
      <c r="BA47" s="225">
        <v>30</v>
      </c>
      <c r="BB47" s="225">
        <v>30</v>
      </c>
      <c r="BC47" s="225">
        <v>30</v>
      </c>
      <c r="BD47" s="225">
        <v>30</v>
      </c>
      <c r="BE47" s="225">
        <v>30</v>
      </c>
      <c r="BF47" s="225">
        <v>30</v>
      </c>
      <c r="BG47" s="225">
        <v>30</v>
      </c>
      <c r="BH47" s="225">
        <v>30</v>
      </c>
      <c r="BI47" s="225">
        <v>30</v>
      </c>
      <c r="BJ47" s="225">
        <v>30</v>
      </c>
      <c r="BK47" s="225">
        <v>30</v>
      </c>
      <c r="BL47" s="225">
        <v>30</v>
      </c>
      <c r="BM47" s="225">
        <v>30</v>
      </c>
    </row>
    <row r="48" spans="1:73" x14ac:dyDescent="0.2">
      <c r="R48" s="237"/>
    </row>
    <row r="49" spans="1:74" s="1" customFormat="1" x14ac:dyDescent="0.2">
      <c r="A49" s="34"/>
      <c r="B49" s="34"/>
      <c r="C49" s="106" t="s">
        <v>216</v>
      </c>
      <c r="D49" s="35" t="s">
        <v>25</v>
      </c>
      <c r="E49" s="35"/>
      <c r="F49" s="14">
        <f>(F50*F51*F53)*2</f>
        <v>163880.00000000003</v>
      </c>
      <c r="G49" s="14">
        <f>G50*G51*G53</f>
        <v>82281.416666666686</v>
      </c>
      <c r="H49" s="14">
        <f t="shared" ref="H49:BM49" si="71">H50*H51*H53</f>
        <v>82624.255902777804</v>
      </c>
      <c r="I49" s="14">
        <f t="shared" si="71"/>
        <v>82968.523635706035</v>
      </c>
      <c r="J49" s="14">
        <f t="shared" si="71"/>
        <v>83314.225817521481</v>
      </c>
      <c r="K49" s="14">
        <f t="shared" si="71"/>
        <v>83661.368425094479</v>
      </c>
      <c r="L49" s="14">
        <f t="shared" si="71"/>
        <v>84009.957460199046</v>
      </c>
      <c r="M49" s="14">
        <f t="shared" si="71"/>
        <v>84359.998949616551</v>
      </c>
      <c r="N49" s="14">
        <f t="shared" si="71"/>
        <v>84711.498945239946</v>
      </c>
      <c r="O49" s="14">
        <f t="shared" si="71"/>
        <v>85064.463524178442</v>
      </c>
      <c r="P49" s="14">
        <f t="shared" si="71"/>
        <v>85418.898788862512</v>
      </c>
      <c r="Q49" s="14">
        <f t="shared" si="71"/>
        <v>85774.810867149426</v>
      </c>
      <c r="R49" s="14">
        <f t="shared" si="71"/>
        <v>86132.205912429228</v>
      </c>
      <c r="S49" s="14">
        <f t="shared" si="71"/>
        <v>86491.09010373101</v>
      </c>
      <c r="T49" s="14">
        <f t="shared" si="71"/>
        <v>86851.469645829886</v>
      </c>
      <c r="U49" s="14">
        <f t="shared" si="71"/>
        <v>87213.350769354176</v>
      </c>
      <c r="V49" s="14">
        <f t="shared" si="71"/>
        <v>87576.739730893154</v>
      </c>
      <c r="W49" s="14">
        <f t="shared" si="71"/>
        <v>87941.642813105209</v>
      </c>
      <c r="X49" s="14">
        <f t="shared" si="71"/>
        <v>88308.066324826475</v>
      </c>
      <c r="Y49" s="14">
        <f t="shared" si="71"/>
        <v>88676.016601179916</v>
      </c>
      <c r="Z49" s="14">
        <f t="shared" si="71"/>
        <v>89045.500003684836</v>
      </c>
      <c r="AA49" s="14">
        <f t="shared" si="71"/>
        <v>89416.522920366842</v>
      </c>
      <c r="AB49" s="14">
        <f t="shared" si="71"/>
        <v>89789.091765868361</v>
      </c>
      <c r="AC49" s="14">
        <f t="shared" si="71"/>
        <v>90163.212981559482</v>
      </c>
      <c r="AD49" s="14">
        <f t="shared" si="71"/>
        <v>90538.893035649322</v>
      </c>
      <c r="AE49" s="14">
        <f t="shared" si="71"/>
        <v>90916.138423297845</v>
      </c>
      <c r="AF49" s="14">
        <f t="shared" si="71"/>
        <v>91294.95566672826</v>
      </c>
      <c r="AG49" s="14">
        <f t="shared" si="71"/>
        <v>91675.351315339634</v>
      </c>
      <c r="AH49" s="14">
        <f t="shared" si="71"/>
        <v>92057.331945820202</v>
      </c>
      <c r="AI49" s="14">
        <f t="shared" si="71"/>
        <v>92440.904162261126</v>
      </c>
      <c r="AJ49" s="14">
        <f t="shared" si="71"/>
        <v>92826.074596270555</v>
      </c>
      <c r="AK49" s="14">
        <f t="shared" si="71"/>
        <v>93212.849907088341</v>
      </c>
      <c r="AL49" s="14">
        <f t="shared" si="71"/>
        <v>93601.236781701213</v>
      </c>
      <c r="AM49" s="14">
        <f t="shared" si="71"/>
        <v>93991.241934958292</v>
      </c>
      <c r="AN49" s="14">
        <f t="shared" si="71"/>
        <v>94382.872109687291</v>
      </c>
      <c r="AO49" s="14">
        <f t="shared" si="71"/>
        <v>94776.13407681098</v>
      </c>
      <c r="AP49" s="14">
        <f t="shared" si="71"/>
        <v>95171.03463546437</v>
      </c>
      <c r="AQ49" s="14">
        <f t="shared" si="71"/>
        <v>95567.580613112135</v>
      </c>
      <c r="AR49" s="14">
        <f t="shared" si="71"/>
        <v>95965.778865666769</v>
      </c>
      <c r="AS49" s="14">
        <f t="shared" si="71"/>
        <v>96365.636277607045</v>
      </c>
      <c r="AT49" s="14">
        <f t="shared" si="71"/>
        <v>96767.159762097057</v>
      </c>
      <c r="AU49" s="14">
        <f t="shared" si="71"/>
        <v>97170.356261105786</v>
      </c>
      <c r="AV49" s="14">
        <f t="shared" si="71"/>
        <v>97575.232745527057</v>
      </c>
      <c r="AW49" s="14">
        <f t="shared" si="71"/>
        <v>97981.796215300084</v>
      </c>
      <c r="AX49" s="14">
        <f t="shared" si="71"/>
        <v>98390.053699530501</v>
      </c>
      <c r="AY49" s="14">
        <f t="shared" si="71"/>
        <v>98800.012256611881</v>
      </c>
      <c r="AZ49" s="14">
        <f t="shared" si="71"/>
        <v>99211.678974347771</v>
      </c>
      <c r="BA49" s="14">
        <f t="shared" si="71"/>
        <v>99625.060970074221</v>
      </c>
      <c r="BB49" s="14">
        <f t="shared" si="71"/>
        <v>100040.16539078286</v>
      </c>
      <c r="BC49" s="14">
        <f t="shared" si="71"/>
        <v>100456.99941324447</v>
      </c>
      <c r="BD49" s="14">
        <f t="shared" si="71"/>
        <v>100875.57024413298</v>
      </c>
      <c r="BE49" s="14">
        <f t="shared" si="71"/>
        <v>101295.8851201502</v>
      </c>
      <c r="BF49" s="14">
        <f t="shared" si="71"/>
        <v>101717.95130815083</v>
      </c>
      <c r="BG49" s="14">
        <f t="shared" si="71"/>
        <v>102141.77610526813</v>
      </c>
      <c r="BH49" s="14">
        <f t="shared" si="71"/>
        <v>102567.36683904007</v>
      </c>
      <c r="BI49" s="14">
        <f t="shared" si="71"/>
        <v>102994.73086753607</v>
      </c>
      <c r="BJ49" s="14">
        <f t="shared" si="71"/>
        <v>103423.87557948414</v>
      </c>
      <c r="BK49" s="14">
        <f t="shared" si="71"/>
        <v>103854.80839439864</v>
      </c>
      <c r="BL49" s="14">
        <f t="shared" si="71"/>
        <v>104287.53676270864</v>
      </c>
      <c r="BM49" s="14">
        <f t="shared" si="71"/>
        <v>104722.06816588658</v>
      </c>
      <c r="BN49" s="14"/>
      <c r="BO49" s="14">
        <f t="shared" si="57"/>
        <v>5654358.4279786823</v>
      </c>
      <c r="BP49" s="107">
        <f>SUM(F49:Q49)</f>
        <v>1088069.4189830124</v>
      </c>
      <c r="BQ49" s="107">
        <f>SUM(R49:AC49)</f>
        <v>1057604.9095728286</v>
      </c>
      <c r="BR49" s="107">
        <f>SUM(AD49:AO49)</f>
        <v>1111713.9839556131</v>
      </c>
      <c r="BS49" s="107">
        <f>SUM(AP49:BA49)</f>
        <v>1168591.3812764448</v>
      </c>
      <c r="BT49" s="107">
        <f>SUM(BB49:BM49)</f>
        <v>1228378.7341907837</v>
      </c>
      <c r="BU49" s="107">
        <f>SUM(BP49:BT49)</f>
        <v>5654358.4279786823</v>
      </c>
      <c r="BV49" s="97"/>
    </row>
    <row r="50" spans="1:74" outlineLevel="1" x14ac:dyDescent="0.2">
      <c r="C50" s="4" t="s">
        <v>93</v>
      </c>
      <c r="D50" s="226" t="s">
        <v>2</v>
      </c>
      <c r="F50" s="225">
        <f>'Вводные данные'!$E$10</f>
        <v>54.400000000000006</v>
      </c>
      <c r="G50" s="225">
        <f>'Вводные данные'!$E$10</f>
        <v>54.400000000000006</v>
      </c>
      <c r="H50" s="225">
        <f>'Вводные данные'!$E$10</f>
        <v>54.400000000000006</v>
      </c>
      <c r="I50" s="225">
        <f>'Вводные данные'!$E$10</f>
        <v>54.400000000000006</v>
      </c>
      <c r="J50" s="225">
        <f>'Вводные данные'!$E$10</f>
        <v>54.400000000000006</v>
      </c>
      <c r="K50" s="225">
        <f>'Вводные данные'!$E$10</f>
        <v>54.400000000000006</v>
      </c>
      <c r="L50" s="225">
        <f>'Вводные данные'!$E$10</f>
        <v>54.400000000000006</v>
      </c>
      <c r="M50" s="225">
        <f>'Вводные данные'!$E$10</f>
        <v>54.400000000000006</v>
      </c>
      <c r="N50" s="225">
        <f>'Вводные данные'!$E$10</f>
        <v>54.400000000000006</v>
      </c>
      <c r="O50" s="225">
        <f>'Вводные данные'!$E$10</f>
        <v>54.400000000000006</v>
      </c>
      <c r="P50" s="225">
        <f>'Вводные данные'!$E$10</f>
        <v>54.400000000000006</v>
      </c>
      <c r="Q50" s="225">
        <f>'Вводные данные'!$E$10</f>
        <v>54.400000000000006</v>
      </c>
      <c r="R50" s="225">
        <f>'Вводные данные'!$E$10</f>
        <v>54.400000000000006</v>
      </c>
      <c r="S50" s="225">
        <f>'Вводные данные'!$E$10</f>
        <v>54.400000000000006</v>
      </c>
      <c r="T50" s="225">
        <f>'Вводные данные'!$E$10</f>
        <v>54.400000000000006</v>
      </c>
      <c r="U50" s="225">
        <f>'Вводные данные'!$E$10</f>
        <v>54.400000000000006</v>
      </c>
      <c r="V50" s="225">
        <f>'Вводные данные'!$E$10</f>
        <v>54.400000000000006</v>
      </c>
      <c r="W50" s="225">
        <f>'Вводные данные'!$E$10</f>
        <v>54.400000000000006</v>
      </c>
      <c r="X50" s="225">
        <f>'Вводные данные'!$E$10</f>
        <v>54.400000000000006</v>
      </c>
      <c r="Y50" s="225">
        <f>'Вводные данные'!$E$10</f>
        <v>54.400000000000006</v>
      </c>
      <c r="Z50" s="225">
        <f>'Вводные данные'!$E$10</f>
        <v>54.400000000000006</v>
      </c>
      <c r="AA50" s="225">
        <f>'Вводные данные'!$E$10</f>
        <v>54.400000000000006</v>
      </c>
      <c r="AB50" s="225">
        <f>'Вводные данные'!$E$10</f>
        <v>54.400000000000006</v>
      </c>
      <c r="AC50" s="225">
        <f>'Вводные данные'!$E$10</f>
        <v>54.400000000000006</v>
      </c>
      <c r="AD50" s="225">
        <f>'Вводные данные'!$E$10</f>
        <v>54.400000000000006</v>
      </c>
      <c r="AE50" s="225">
        <f>'Вводные данные'!$E$10</f>
        <v>54.400000000000006</v>
      </c>
      <c r="AF50" s="225">
        <f>'Вводные данные'!$E$10</f>
        <v>54.400000000000006</v>
      </c>
      <c r="AG50" s="225">
        <f>'Вводные данные'!$E$10</f>
        <v>54.400000000000006</v>
      </c>
      <c r="AH50" s="225">
        <f>'Вводные данные'!$E$10</f>
        <v>54.400000000000006</v>
      </c>
      <c r="AI50" s="225">
        <f>'Вводные данные'!$E$10</f>
        <v>54.400000000000006</v>
      </c>
      <c r="AJ50" s="225">
        <f>'Вводные данные'!$E$10</f>
        <v>54.400000000000006</v>
      </c>
      <c r="AK50" s="225">
        <f>'Вводные данные'!$E$10</f>
        <v>54.400000000000006</v>
      </c>
      <c r="AL50" s="225">
        <f>'Вводные данные'!$E$10</f>
        <v>54.400000000000006</v>
      </c>
      <c r="AM50" s="225">
        <f>'Вводные данные'!$E$10</f>
        <v>54.400000000000006</v>
      </c>
      <c r="AN50" s="225">
        <f>'Вводные данные'!$E$10</f>
        <v>54.400000000000006</v>
      </c>
      <c r="AO50" s="225">
        <f>'Вводные данные'!$E$10</f>
        <v>54.400000000000006</v>
      </c>
      <c r="AP50" s="225">
        <f>'Вводные данные'!$E$10</f>
        <v>54.400000000000006</v>
      </c>
      <c r="AQ50" s="225">
        <f>'Вводные данные'!$E$10</f>
        <v>54.400000000000006</v>
      </c>
      <c r="AR50" s="225">
        <f>'Вводные данные'!$E$10</f>
        <v>54.400000000000006</v>
      </c>
      <c r="AS50" s="225">
        <f>'Вводные данные'!$E$10</f>
        <v>54.400000000000006</v>
      </c>
      <c r="AT50" s="225">
        <f>'Вводные данные'!$E$10</f>
        <v>54.400000000000006</v>
      </c>
      <c r="AU50" s="225">
        <f>'Вводные данные'!$E$10</f>
        <v>54.400000000000006</v>
      </c>
      <c r="AV50" s="225">
        <f>'Вводные данные'!$E$10</f>
        <v>54.400000000000006</v>
      </c>
      <c r="AW50" s="225">
        <f>'Вводные данные'!$E$10</f>
        <v>54.400000000000006</v>
      </c>
      <c r="AX50" s="225">
        <f>'Вводные данные'!$E$10</f>
        <v>54.400000000000006</v>
      </c>
      <c r="AY50" s="225">
        <f>'Вводные данные'!$E$10</f>
        <v>54.400000000000006</v>
      </c>
      <c r="AZ50" s="225">
        <f>'Вводные данные'!$E$10</f>
        <v>54.400000000000006</v>
      </c>
      <c r="BA50" s="225">
        <f>'Вводные данные'!$E$10</f>
        <v>54.400000000000006</v>
      </c>
      <c r="BB50" s="225">
        <f>'Вводные данные'!$E$10</f>
        <v>54.400000000000006</v>
      </c>
      <c r="BC50" s="225">
        <f>'Вводные данные'!$E$10</f>
        <v>54.400000000000006</v>
      </c>
      <c r="BD50" s="225">
        <f>'Вводные данные'!$E$10</f>
        <v>54.400000000000006</v>
      </c>
      <c r="BE50" s="225">
        <f>'Вводные данные'!$E$10</f>
        <v>54.400000000000006</v>
      </c>
      <c r="BF50" s="225">
        <f>'Вводные данные'!$E$10</f>
        <v>54.400000000000006</v>
      </c>
      <c r="BG50" s="225">
        <f>'Вводные данные'!$E$10</f>
        <v>54.400000000000006</v>
      </c>
      <c r="BH50" s="225">
        <f>'Вводные данные'!$E$10</f>
        <v>54.400000000000006</v>
      </c>
      <c r="BI50" s="225">
        <f>'Вводные данные'!$E$10</f>
        <v>54.400000000000006</v>
      </c>
      <c r="BJ50" s="225">
        <f>'Вводные данные'!$E$10</f>
        <v>54.400000000000006</v>
      </c>
      <c r="BK50" s="225">
        <f>'Вводные данные'!$E$10</f>
        <v>54.400000000000006</v>
      </c>
      <c r="BL50" s="225">
        <f>'Вводные данные'!$E$10</f>
        <v>54.400000000000006</v>
      </c>
      <c r="BM50" s="225">
        <f>'Вводные данные'!$E$10</f>
        <v>54.400000000000006</v>
      </c>
    </row>
    <row r="51" spans="1:74" outlineLevel="1" x14ac:dyDescent="0.2">
      <c r="C51" s="4" t="s">
        <v>94</v>
      </c>
      <c r="D51" s="226" t="s">
        <v>92</v>
      </c>
      <c r="F51" s="229">
        <f>'Вводные данные'!$E$23</f>
        <v>1500</v>
      </c>
      <c r="G51" s="229">
        <f>'Вводные данные'!$E$23</f>
        <v>1500</v>
      </c>
      <c r="H51" s="229">
        <f>'Вводные данные'!$E$23</f>
        <v>1500</v>
      </c>
      <c r="I51" s="229">
        <f>'Вводные данные'!$E$23</f>
        <v>1500</v>
      </c>
      <c r="J51" s="229">
        <f>'Вводные данные'!$E$23</f>
        <v>1500</v>
      </c>
      <c r="K51" s="229">
        <f>'Вводные данные'!$E$23</f>
        <v>1500</v>
      </c>
      <c r="L51" s="229">
        <f>'Вводные данные'!$E$23</f>
        <v>1500</v>
      </c>
      <c r="M51" s="229">
        <f>'Вводные данные'!$E$23</f>
        <v>1500</v>
      </c>
      <c r="N51" s="229">
        <f>'Вводные данные'!$E$23</f>
        <v>1500</v>
      </c>
      <c r="O51" s="229">
        <f>'Вводные данные'!$E$23</f>
        <v>1500</v>
      </c>
      <c r="P51" s="229">
        <f>'Вводные данные'!$E$23</f>
        <v>1500</v>
      </c>
      <c r="Q51" s="229">
        <f>'Вводные данные'!$E$23</f>
        <v>1500</v>
      </c>
      <c r="R51" s="229">
        <f>'Вводные данные'!$E$23</f>
        <v>1500</v>
      </c>
      <c r="S51" s="229">
        <f>'Вводные данные'!$E$23</f>
        <v>1500</v>
      </c>
      <c r="T51" s="229">
        <f>'Вводные данные'!$E$23</f>
        <v>1500</v>
      </c>
      <c r="U51" s="229">
        <f>'Вводные данные'!$E$23</f>
        <v>1500</v>
      </c>
      <c r="V51" s="229">
        <f>'Вводные данные'!$E$23</f>
        <v>1500</v>
      </c>
      <c r="W51" s="229">
        <f>'Вводные данные'!$E$23</f>
        <v>1500</v>
      </c>
      <c r="X51" s="229">
        <f>'Вводные данные'!$E$23</f>
        <v>1500</v>
      </c>
      <c r="Y51" s="229">
        <f>'Вводные данные'!$E$23</f>
        <v>1500</v>
      </c>
      <c r="Z51" s="229">
        <f>'Вводные данные'!$E$23</f>
        <v>1500</v>
      </c>
      <c r="AA51" s="229">
        <f>'Вводные данные'!$E$23</f>
        <v>1500</v>
      </c>
      <c r="AB51" s="229">
        <f>'Вводные данные'!$E$23</f>
        <v>1500</v>
      </c>
      <c r="AC51" s="229">
        <f>'Вводные данные'!$E$23</f>
        <v>1500</v>
      </c>
      <c r="AD51" s="229">
        <f>'Вводные данные'!$E$23</f>
        <v>1500</v>
      </c>
      <c r="AE51" s="229">
        <f>'Вводные данные'!$E$23</f>
        <v>1500</v>
      </c>
      <c r="AF51" s="229">
        <f>'Вводные данные'!$E$23</f>
        <v>1500</v>
      </c>
      <c r="AG51" s="229">
        <f>'Вводные данные'!$E$23</f>
        <v>1500</v>
      </c>
      <c r="AH51" s="229">
        <f>'Вводные данные'!$E$23</f>
        <v>1500</v>
      </c>
      <c r="AI51" s="229">
        <f>'Вводные данные'!$E$23</f>
        <v>1500</v>
      </c>
      <c r="AJ51" s="229">
        <f>'Вводные данные'!$E$23</f>
        <v>1500</v>
      </c>
      <c r="AK51" s="229">
        <f>'Вводные данные'!$E$23</f>
        <v>1500</v>
      </c>
      <c r="AL51" s="229">
        <f>'Вводные данные'!$E$23</f>
        <v>1500</v>
      </c>
      <c r="AM51" s="229">
        <f>'Вводные данные'!$E$23</f>
        <v>1500</v>
      </c>
      <c r="AN51" s="229">
        <f>'Вводные данные'!$E$23</f>
        <v>1500</v>
      </c>
      <c r="AO51" s="229">
        <f>'Вводные данные'!$E$23</f>
        <v>1500</v>
      </c>
      <c r="AP51" s="229">
        <f>'Вводные данные'!$E$23</f>
        <v>1500</v>
      </c>
      <c r="AQ51" s="229">
        <f>'Вводные данные'!$E$23</f>
        <v>1500</v>
      </c>
      <c r="AR51" s="229">
        <f>'Вводные данные'!$E$23</f>
        <v>1500</v>
      </c>
      <c r="AS51" s="229">
        <f>'Вводные данные'!$E$23</f>
        <v>1500</v>
      </c>
      <c r="AT51" s="229">
        <f>'Вводные данные'!$E$23</f>
        <v>1500</v>
      </c>
      <c r="AU51" s="229">
        <f>'Вводные данные'!$E$23</f>
        <v>1500</v>
      </c>
      <c r="AV51" s="229">
        <f>'Вводные данные'!$E$23</f>
        <v>1500</v>
      </c>
      <c r="AW51" s="229">
        <f>'Вводные данные'!$E$23</f>
        <v>1500</v>
      </c>
      <c r="AX51" s="229">
        <f>'Вводные данные'!$E$23</f>
        <v>1500</v>
      </c>
      <c r="AY51" s="229">
        <f>'Вводные данные'!$E$23</f>
        <v>1500</v>
      </c>
      <c r="AZ51" s="229">
        <f>'Вводные данные'!$E$23</f>
        <v>1500</v>
      </c>
      <c r="BA51" s="229">
        <f>'Вводные данные'!$E$23</f>
        <v>1500</v>
      </c>
      <c r="BB51" s="229">
        <f>'Вводные данные'!$E$23</f>
        <v>1500</v>
      </c>
      <c r="BC51" s="229">
        <f>'Вводные данные'!$E$23</f>
        <v>1500</v>
      </c>
      <c r="BD51" s="229">
        <f>'Вводные данные'!$E$23</f>
        <v>1500</v>
      </c>
      <c r="BE51" s="229">
        <f>'Вводные данные'!$E$23</f>
        <v>1500</v>
      </c>
      <c r="BF51" s="229">
        <f>'Вводные данные'!$E$23</f>
        <v>1500</v>
      </c>
      <c r="BG51" s="229">
        <f>'Вводные данные'!$E$23</f>
        <v>1500</v>
      </c>
      <c r="BH51" s="229">
        <f>'Вводные данные'!$E$23</f>
        <v>1500</v>
      </c>
      <c r="BI51" s="229">
        <f>'Вводные данные'!$E$23</f>
        <v>1500</v>
      </c>
      <c r="BJ51" s="229">
        <f>'Вводные данные'!$E$23</f>
        <v>1500</v>
      </c>
      <c r="BK51" s="229">
        <f>'Вводные данные'!$E$23</f>
        <v>1500</v>
      </c>
      <c r="BL51" s="229">
        <f>'Вводные данные'!$E$23</f>
        <v>1500</v>
      </c>
      <c r="BM51" s="229">
        <f>'Вводные данные'!$E$23</f>
        <v>1500</v>
      </c>
      <c r="BO51" s="229"/>
    </row>
    <row r="52" spans="1:74" outlineLevel="1" x14ac:dyDescent="0.2">
      <c r="C52" s="205" t="s">
        <v>24</v>
      </c>
      <c r="D52" s="202" t="s">
        <v>46</v>
      </c>
      <c r="F52" s="232">
        <f>'Вводные данные'!E25</f>
        <v>0.05</v>
      </c>
      <c r="G52" s="232">
        <f>F52</f>
        <v>0.05</v>
      </c>
      <c r="H52" s="232">
        <f t="shared" ref="H52:BM52" si="72">G52</f>
        <v>0.05</v>
      </c>
      <c r="I52" s="232">
        <f t="shared" si="72"/>
        <v>0.05</v>
      </c>
      <c r="J52" s="232">
        <f t="shared" si="72"/>
        <v>0.05</v>
      </c>
      <c r="K52" s="232">
        <f t="shared" si="72"/>
        <v>0.05</v>
      </c>
      <c r="L52" s="232">
        <f t="shared" si="72"/>
        <v>0.05</v>
      </c>
      <c r="M52" s="232">
        <f t="shared" si="72"/>
        <v>0.05</v>
      </c>
      <c r="N52" s="232">
        <f t="shared" si="72"/>
        <v>0.05</v>
      </c>
      <c r="O52" s="232">
        <f t="shared" si="72"/>
        <v>0.05</v>
      </c>
      <c r="P52" s="232">
        <f t="shared" si="72"/>
        <v>0.05</v>
      </c>
      <c r="Q52" s="232">
        <f t="shared" si="72"/>
        <v>0.05</v>
      </c>
      <c r="R52" s="232">
        <f t="shared" si="72"/>
        <v>0.05</v>
      </c>
      <c r="S52" s="232">
        <f t="shared" si="72"/>
        <v>0.05</v>
      </c>
      <c r="T52" s="232">
        <f t="shared" si="72"/>
        <v>0.05</v>
      </c>
      <c r="U52" s="232">
        <f t="shared" si="72"/>
        <v>0.05</v>
      </c>
      <c r="V52" s="232">
        <f t="shared" si="72"/>
        <v>0.05</v>
      </c>
      <c r="W52" s="232">
        <f t="shared" si="72"/>
        <v>0.05</v>
      </c>
      <c r="X52" s="232">
        <f t="shared" si="72"/>
        <v>0.05</v>
      </c>
      <c r="Y52" s="232">
        <f t="shared" si="72"/>
        <v>0.05</v>
      </c>
      <c r="Z52" s="232">
        <f t="shared" si="72"/>
        <v>0.05</v>
      </c>
      <c r="AA52" s="232">
        <f t="shared" si="72"/>
        <v>0.05</v>
      </c>
      <c r="AB52" s="232">
        <f t="shared" si="72"/>
        <v>0.05</v>
      </c>
      <c r="AC52" s="232">
        <f t="shared" si="72"/>
        <v>0.05</v>
      </c>
      <c r="AD52" s="232">
        <f t="shared" si="72"/>
        <v>0.05</v>
      </c>
      <c r="AE52" s="232">
        <f t="shared" si="72"/>
        <v>0.05</v>
      </c>
      <c r="AF52" s="232">
        <f t="shared" si="72"/>
        <v>0.05</v>
      </c>
      <c r="AG52" s="232">
        <f t="shared" si="72"/>
        <v>0.05</v>
      </c>
      <c r="AH52" s="232">
        <f t="shared" si="72"/>
        <v>0.05</v>
      </c>
      <c r="AI52" s="232">
        <f t="shared" si="72"/>
        <v>0.05</v>
      </c>
      <c r="AJ52" s="232">
        <f t="shared" si="72"/>
        <v>0.05</v>
      </c>
      <c r="AK52" s="232">
        <f t="shared" si="72"/>
        <v>0.05</v>
      </c>
      <c r="AL52" s="232">
        <f t="shared" si="72"/>
        <v>0.05</v>
      </c>
      <c r="AM52" s="232">
        <f t="shared" si="72"/>
        <v>0.05</v>
      </c>
      <c r="AN52" s="232">
        <f t="shared" si="72"/>
        <v>0.05</v>
      </c>
      <c r="AO52" s="232">
        <f t="shared" si="72"/>
        <v>0.05</v>
      </c>
      <c r="AP52" s="232">
        <f t="shared" si="72"/>
        <v>0.05</v>
      </c>
      <c r="AQ52" s="232">
        <f t="shared" si="72"/>
        <v>0.05</v>
      </c>
      <c r="AR52" s="232">
        <f t="shared" si="72"/>
        <v>0.05</v>
      </c>
      <c r="AS52" s="232">
        <f t="shared" si="72"/>
        <v>0.05</v>
      </c>
      <c r="AT52" s="232">
        <f t="shared" si="72"/>
        <v>0.05</v>
      </c>
      <c r="AU52" s="232">
        <f t="shared" si="72"/>
        <v>0.05</v>
      </c>
      <c r="AV52" s="232">
        <f t="shared" si="72"/>
        <v>0.05</v>
      </c>
      <c r="AW52" s="232">
        <f t="shared" si="72"/>
        <v>0.05</v>
      </c>
      <c r="AX52" s="232">
        <f t="shared" si="72"/>
        <v>0.05</v>
      </c>
      <c r="AY52" s="232">
        <f t="shared" si="72"/>
        <v>0.05</v>
      </c>
      <c r="AZ52" s="232">
        <f t="shared" si="72"/>
        <v>0.05</v>
      </c>
      <c r="BA52" s="232">
        <f t="shared" si="72"/>
        <v>0.05</v>
      </c>
      <c r="BB52" s="232">
        <f t="shared" si="72"/>
        <v>0.05</v>
      </c>
      <c r="BC52" s="232">
        <f t="shared" si="72"/>
        <v>0.05</v>
      </c>
      <c r="BD52" s="232">
        <f t="shared" si="72"/>
        <v>0.05</v>
      </c>
      <c r="BE52" s="232">
        <f t="shared" si="72"/>
        <v>0.05</v>
      </c>
      <c r="BF52" s="232">
        <f t="shared" si="72"/>
        <v>0.05</v>
      </c>
      <c r="BG52" s="232">
        <f t="shared" si="72"/>
        <v>0.05</v>
      </c>
      <c r="BH52" s="232">
        <f t="shared" si="72"/>
        <v>0.05</v>
      </c>
      <c r="BI52" s="232">
        <f t="shared" si="72"/>
        <v>0.05</v>
      </c>
      <c r="BJ52" s="232">
        <f t="shared" si="72"/>
        <v>0.05</v>
      </c>
      <c r="BK52" s="232">
        <f t="shared" si="72"/>
        <v>0.05</v>
      </c>
      <c r="BL52" s="232">
        <f t="shared" si="72"/>
        <v>0.05</v>
      </c>
      <c r="BM52" s="232">
        <f t="shared" si="72"/>
        <v>0.05</v>
      </c>
      <c r="BO52" s="232"/>
    </row>
    <row r="53" spans="1:74" outlineLevel="1" x14ac:dyDescent="0.2">
      <c r="C53" s="205" t="s">
        <v>95</v>
      </c>
      <c r="D53" s="202"/>
      <c r="E53" s="239">
        <v>1</v>
      </c>
      <c r="F53" s="240">
        <f>E53*(1+F52/12)</f>
        <v>1.0041666666666667</v>
      </c>
      <c r="G53" s="240">
        <f t="shared" ref="G53:Q53" si="73">F53*(1+G52/12)</f>
        <v>1.0083506944444445</v>
      </c>
      <c r="H53" s="240">
        <f t="shared" si="73"/>
        <v>1.0125521556712964</v>
      </c>
      <c r="I53" s="240">
        <f t="shared" si="73"/>
        <v>1.0167711229865934</v>
      </c>
      <c r="J53" s="240">
        <f t="shared" si="73"/>
        <v>1.0210076693323709</v>
      </c>
      <c r="K53" s="240">
        <f t="shared" si="73"/>
        <v>1.0252618679545891</v>
      </c>
      <c r="L53" s="240">
        <f t="shared" si="73"/>
        <v>1.0295337924043999</v>
      </c>
      <c r="M53" s="240">
        <f t="shared" si="73"/>
        <v>1.0338235165394183</v>
      </c>
      <c r="N53" s="240">
        <f t="shared" si="73"/>
        <v>1.0381311145249992</v>
      </c>
      <c r="O53" s="240">
        <f t="shared" si="73"/>
        <v>1.0424566608355199</v>
      </c>
      <c r="P53" s="240">
        <f t="shared" si="73"/>
        <v>1.0468002302556678</v>
      </c>
      <c r="Q53" s="241">
        <f t="shared" si="73"/>
        <v>1.051161897881733</v>
      </c>
      <c r="R53" s="240">
        <f t="shared" ref="R53" si="74">Q53*(1+R52/12)</f>
        <v>1.0555417391229069</v>
      </c>
      <c r="S53" s="240">
        <f t="shared" ref="S53" si="75">R53*(1+S52/12)</f>
        <v>1.0599398297025857</v>
      </c>
      <c r="T53" s="240">
        <f t="shared" ref="T53" si="76">S53*(1+T52/12)</f>
        <v>1.0643562456596798</v>
      </c>
      <c r="U53" s="240">
        <f t="shared" ref="U53" si="77">T53*(1+U52/12)</f>
        <v>1.0687910633499285</v>
      </c>
      <c r="V53" s="240">
        <f t="shared" ref="V53" si="78">U53*(1+V52/12)</f>
        <v>1.0732443594472199</v>
      </c>
      <c r="W53" s="240">
        <f t="shared" ref="W53" si="79">V53*(1+W52/12)</f>
        <v>1.0777162109449165</v>
      </c>
      <c r="X53" s="240">
        <f t="shared" ref="X53" si="80">W53*(1+X52/12)</f>
        <v>1.0822066951571869</v>
      </c>
      <c r="Y53" s="240">
        <f t="shared" ref="Y53" si="81">X53*(1+Y52/12)</f>
        <v>1.0867158897203419</v>
      </c>
      <c r="Z53" s="240">
        <f t="shared" ref="Z53" si="82">Y53*(1+Z52/12)</f>
        <v>1.0912438725941767</v>
      </c>
      <c r="AA53" s="240">
        <f t="shared" ref="AA53" si="83">Z53*(1+AA52/12)</f>
        <v>1.095790722063319</v>
      </c>
      <c r="AB53" s="240">
        <f t="shared" ref="AB53" si="84">AA53*(1+AB52/12)</f>
        <v>1.1003565167385827</v>
      </c>
      <c r="AC53" s="241">
        <f t="shared" ref="AC53" si="85">AB53*(1+AC52/12)</f>
        <v>1.1049413355583269</v>
      </c>
      <c r="AD53" s="240">
        <f t="shared" ref="AD53" si="86">AC53*(1+AD52/12)</f>
        <v>1.1095452577898199</v>
      </c>
      <c r="AE53" s="240">
        <f t="shared" ref="AE53" si="87">AD53*(1+AE52/12)</f>
        <v>1.1141683630306107</v>
      </c>
      <c r="AF53" s="240">
        <f t="shared" ref="AF53" si="88">AE53*(1+AF52/12)</f>
        <v>1.1188107312099049</v>
      </c>
      <c r="AG53" s="240">
        <f t="shared" ref="AG53" si="89">AF53*(1+AG52/12)</f>
        <v>1.1234724425899463</v>
      </c>
      <c r="AH53" s="240">
        <f t="shared" ref="AH53" si="90">AG53*(1+AH52/12)</f>
        <v>1.1281535777674043</v>
      </c>
      <c r="AI53" s="240">
        <f t="shared" ref="AI53" si="91">AH53*(1+AI52/12)</f>
        <v>1.1328542176747685</v>
      </c>
      <c r="AJ53" s="240">
        <f t="shared" ref="AJ53" si="92">AI53*(1+AJ52/12)</f>
        <v>1.1375744435817468</v>
      </c>
      <c r="AK53" s="240">
        <f t="shared" ref="AK53" si="93">AJ53*(1+AK52/12)</f>
        <v>1.1423143370966706</v>
      </c>
      <c r="AL53" s="240">
        <f t="shared" ref="AL53" si="94">AK53*(1+AL52/12)</f>
        <v>1.1470739801679068</v>
      </c>
      <c r="AM53" s="240">
        <f t="shared" ref="AM53" si="95">AL53*(1+AM52/12)</f>
        <v>1.151853455085273</v>
      </c>
      <c r="AN53" s="240">
        <f t="shared" ref="AN53" si="96">AM53*(1+AN52/12)</f>
        <v>1.1566528444814617</v>
      </c>
      <c r="AO53" s="241">
        <f t="shared" ref="AO53" si="97">AN53*(1+AO52/12)</f>
        <v>1.1614722313334678</v>
      </c>
      <c r="AP53" s="240">
        <f t="shared" ref="AP53" si="98">AO53*(1+AP52/12)</f>
        <v>1.1663116989640239</v>
      </c>
      <c r="AQ53" s="240">
        <f t="shared" ref="AQ53" si="99">AP53*(1+AQ52/12)</f>
        <v>1.1711713310430407</v>
      </c>
      <c r="AR53" s="240">
        <f t="shared" ref="AR53" si="100">AQ53*(1+AR52/12)</f>
        <v>1.1760512115890533</v>
      </c>
      <c r="AS53" s="240">
        <f t="shared" ref="AS53" si="101">AR53*(1+AS52/12)</f>
        <v>1.1809514249706743</v>
      </c>
      <c r="AT53" s="240">
        <f t="shared" ref="AT53" si="102">AS53*(1+AT52/12)</f>
        <v>1.185872055908052</v>
      </c>
      <c r="AU53" s="240">
        <f t="shared" ref="AU53" si="103">AT53*(1+AU52/12)</f>
        <v>1.1908131894743355</v>
      </c>
      <c r="AV53" s="240">
        <f t="shared" ref="AV53" si="104">AU53*(1+AV52/12)</f>
        <v>1.1957749110971452</v>
      </c>
      <c r="AW53" s="240">
        <f t="shared" ref="AW53" si="105">AV53*(1+AW52/12)</f>
        <v>1.2007573065600499</v>
      </c>
      <c r="AX53" s="240">
        <f t="shared" ref="AX53" si="106">AW53*(1+AX52/12)</f>
        <v>1.2057604620040501</v>
      </c>
      <c r="AY53" s="240">
        <f t="shared" ref="AY53" si="107">AX53*(1+AY52/12)</f>
        <v>1.210784463929067</v>
      </c>
      <c r="AZ53" s="240">
        <f t="shared" ref="AZ53" si="108">AY53*(1+AZ52/12)</f>
        <v>1.2158293991954381</v>
      </c>
      <c r="BA53" s="241">
        <f t="shared" ref="BA53" si="109">AZ53*(1+BA52/12)</f>
        <v>1.2208953550254191</v>
      </c>
      <c r="BB53" s="240">
        <f t="shared" ref="BB53" si="110">BA53*(1+BB52/12)</f>
        <v>1.2259824190046917</v>
      </c>
      <c r="BC53" s="240">
        <f t="shared" ref="BC53" si="111">BB53*(1+BC52/12)</f>
        <v>1.231090679083878</v>
      </c>
      <c r="BD53" s="240">
        <f t="shared" ref="BD53" si="112">BC53*(1+BD52/12)</f>
        <v>1.2362202235800608</v>
      </c>
      <c r="BE53" s="240">
        <f t="shared" ref="BE53" si="113">BD53*(1+BE52/12)</f>
        <v>1.241371141178311</v>
      </c>
      <c r="BF53" s="240">
        <f t="shared" ref="BF53" si="114">BE53*(1+BF52/12)</f>
        <v>1.2465435209332207</v>
      </c>
      <c r="BG53" s="240">
        <f t="shared" ref="BG53" si="115">BF53*(1+BG52/12)</f>
        <v>1.2517374522704425</v>
      </c>
      <c r="BH53" s="240">
        <f t="shared" ref="BH53" si="116">BG53*(1+BH52/12)</f>
        <v>1.2569530249882359</v>
      </c>
      <c r="BI53" s="240">
        <f t="shared" ref="BI53" si="117">BH53*(1+BI52/12)</f>
        <v>1.2621903292590202</v>
      </c>
      <c r="BJ53" s="240">
        <f t="shared" ref="BJ53" si="118">BI53*(1+BJ52/12)</f>
        <v>1.2674494556309328</v>
      </c>
      <c r="BK53" s="240">
        <f t="shared" ref="BK53" si="119">BJ53*(1+BK52/12)</f>
        <v>1.2727304950293949</v>
      </c>
      <c r="BL53" s="240">
        <f t="shared" ref="BL53" si="120">BK53*(1+BL52/12)</f>
        <v>1.2780335387586841</v>
      </c>
      <c r="BM53" s="240">
        <f t="shared" ref="BM53" si="121">BL53*(1+BM52/12)</f>
        <v>1.2833586785035118</v>
      </c>
      <c r="BO53" s="240"/>
    </row>
    <row r="54" spans="1:74" x14ac:dyDescent="0.2">
      <c r="C54" s="205"/>
      <c r="D54" s="202"/>
      <c r="E54" s="239"/>
      <c r="F54" s="240"/>
      <c r="G54" s="240"/>
      <c r="H54" s="240"/>
      <c r="I54" s="240"/>
      <c r="J54" s="240"/>
      <c r="K54" s="240"/>
      <c r="L54" s="240"/>
      <c r="M54" s="240"/>
      <c r="N54" s="240"/>
      <c r="O54" s="240"/>
      <c r="P54" s="240"/>
      <c r="Q54" s="241"/>
      <c r="R54" s="240"/>
      <c r="S54" s="240"/>
      <c r="T54" s="240"/>
      <c r="U54" s="240"/>
      <c r="V54" s="240"/>
      <c r="W54" s="240"/>
      <c r="X54" s="240"/>
      <c r="Y54" s="240"/>
      <c r="Z54" s="240"/>
      <c r="AA54" s="240"/>
      <c r="AB54" s="240"/>
      <c r="AC54" s="241"/>
      <c r="AD54" s="240"/>
      <c r="AE54" s="240"/>
      <c r="AF54" s="240"/>
      <c r="AG54" s="240"/>
      <c r="AH54" s="240"/>
      <c r="AI54" s="240"/>
      <c r="AJ54" s="240"/>
      <c r="AK54" s="240"/>
      <c r="AL54" s="240"/>
      <c r="AM54" s="240"/>
      <c r="AN54" s="240"/>
      <c r="AO54" s="241"/>
      <c r="AP54" s="240"/>
      <c r="AQ54" s="240"/>
      <c r="AR54" s="240"/>
      <c r="AS54" s="240"/>
      <c r="AT54" s="240"/>
      <c r="AU54" s="240"/>
      <c r="AV54" s="240"/>
      <c r="AW54" s="240"/>
      <c r="AX54" s="240"/>
      <c r="AY54" s="240"/>
      <c r="AZ54" s="240"/>
      <c r="BA54" s="241"/>
      <c r="BB54" s="240"/>
      <c r="BC54" s="240"/>
      <c r="BD54" s="240"/>
      <c r="BE54" s="240"/>
      <c r="BF54" s="240"/>
      <c r="BG54" s="240"/>
      <c r="BH54" s="240"/>
      <c r="BI54" s="240"/>
      <c r="BJ54" s="240"/>
      <c r="BK54" s="240"/>
      <c r="BL54" s="240"/>
      <c r="BM54" s="240"/>
      <c r="BO54" s="240"/>
    </row>
    <row r="55" spans="1:74" s="1" customFormat="1" x14ac:dyDescent="0.2">
      <c r="A55" s="34"/>
      <c r="B55" s="34"/>
      <c r="C55" s="106" t="s">
        <v>133</v>
      </c>
      <c r="D55" s="35" t="s">
        <v>25</v>
      </c>
      <c r="E55" s="35"/>
      <c r="F55" s="14">
        <f>IF(F58&lt;0,0,F58)</f>
        <v>0</v>
      </c>
      <c r="G55" s="14">
        <f t="shared" ref="G55:BM55" si="122">IF(G58&lt;0,0,G58)</f>
        <v>0</v>
      </c>
      <c r="H55" s="14">
        <f t="shared" si="122"/>
        <v>0</v>
      </c>
      <c r="I55" s="14">
        <f t="shared" si="122"/>
        <v>0</v>
      </c>
      <c r="J55" s="14">
        <f t="shared" si="122"/>
        <v>0</v>
      </c>
      <c r="K55" s="14">
        <f t="shared" si="122"/>
        <v>0</v>
      </c>
      <c r="L55" s="14">
        <f t="shared" si="122"/>
        <v>0</v>
      </c>
      <c r="M55" s="14">
        <f t="shared" si="122"/>
        <v>0</v>
      </c>
      <c r="N55" s="14">
        <f t="shared" si="122"/>
        <v>0</v>
      </c>
      <c r="O55" s="14">
        <f t="shared" si="122"/>
        <v>0</v>
      </c>
      <c r="P55" s="14">
        <f t="shared" si="122"/>
        <v>0</v>
      </c>
      <c r="Q55" s="14">
        <f t="shared" si="122"/>
        <v>0</v>
      </c>
      <c r="R55" s="14">
        <f t="shared" si="122"/>
        <v>0</v>
      </c>
      <c r="S55" s="14">
        <f t="shared" si="122"/>
        <v>0</v>
      </c>
      <c r="T55" s="14">
        <f t="shared" si="122"/>
        <v>0</v>
      </c>
      <c r="U55" s="14">
        <f t="shared" si="122"/>
        <v>0</v>
      </c>
      <c r="V55" s="14">
        <f t="shared" si="122"/>
        <v>0</v>
      </c>
      <c r="W55" s="14">
        <f t="shared" si="122"/>
        <v>0</v>
      </c>
      <c r="X55" s="14">
        <f t="shared" si="122"/>
        <v>0</v>
      </c>
      <c r="Y55" s="14">
        <f t="shared" si="122"/>
        <v>0</v>
      </c>
      <c r="Z55" s="14">
        <f t="shared" si="122"/>
        <v>0</v>
      </c>
      <c r="AA55" s="14">
        <f t="shared" si="122"/>
        <v>0</v>
      </c>
      <c r="AB55" s="14">
        <f t="shared" si="122"/>
        <v>0</v>
      </c>
      <c r="AC55" s="14">
        <f t="shared" si="122"/>
        <v>0</v>
      </c>
      <c r="AD55" s="14">
        <f t="shared" si="122"/>
        <v>0</v>
      </c>
      <c r="AE55" s="14">
        <f t="shared" si="122"/>
        <v>0</v>
      </c>
      <c r="AF55" s="14">
        <f t="shared" si="122"/>
        <v>0</v>
      </c>
      <c r="AG55" s="14">
        <f t="shared" si="122"/>
        <v>0</v>
      </c>
      <c r="AH55" s="14">
        <f t="shared" si="122"/>
        <v>0</v>
      </c>
      <c r="AI55" s="14">
        <f t="shared" si="122"/>
        <v>0</v>
      </c>
      <c r="AJ55" s="14">
        <f t="shared" si="122"/>
        <v>0</v>
      </c>
      <c r="AK55" s="14">
        <f t="shared" si="122"/>
        <v>0</v>
      </c>
      <c r="AL55" s="14">
        <f t="shared" si="122"/>
        <v>0</v>
      </c>
      <c r="AM55" s="14">
        <f t="shared" si="122"/>
        <v>0</v>
      </c>
      <c r="AN55" s="14">
        <f t="shared" si="122"/>
        <v>0</v>
      </c>
      <c r="AO55" s="14">
        <f t="shared" si="122"/>
        <v>0</v>
      </c>
      <c r="AP55" s="14">
        <f t="shared" si="122"/>
        <v>0</v>
      </c>
      <c r="AQ55" s="14">
        <f t="shared" si="122"/>
        <v>0</v>
      </c>
      <c r="AR55" s="14">
        <f t="shared" si="122"/>
        <v>0</v>
      </c>
      <c r="AS55" s="14">
        <f t="shared" si="122"/>
        <v>0</v>
      </c>
      <c r="AT55" s="14">
        <f t="shared" si="122"/>
        <v>0</v>
      </c>
      <c r="AU55" s="14">
        <f t="shared" si="122"/>
        <v>0</v>
      </c>
      <c r="AV55" s="14">
        <f t="shared" si="122"/>
        <v>0</v>
      </c>
      <c r="AW55" s="14">
        <f t="shared" si="122"/>
        <v>0</v>
      </c>
      <c r="AX55" s="14">
        <f t="shared" si="122"/>
        <v>0</v>
      </c>
      <c r="AY55" s="14">
        <f t="shared" si="122"/>
        <v>0</v>
      </c>
      <c r="AZ55" s="14">
        <f t="shared" si="122"/>
        <v>0</v>
      </c>
      <c r="BA55" s="14">
        <f t="shared" si="122"/>
        <v>0</v>
      </c>
      <c r="BB55" s="14">
        <f t="shared" si="122"/>
        <v>0</v>
      </c>
      <c r="BC55" s="14">
        <f t="shared" si="122"/>
        <v>0</v>
      </c>
      <c r="BD55" s="14">
        <f t="shared" si="122"/>
        <v>0</v>
      </c>
      <c r="BE55" s="14">
        <f t="shared" si="122"/>
        <v>0</v>
      </c>
      <c r="BF55" s="14">
        <f t="shared" si="122"/>
        <v>0</v>
      </c>
      <c r="BG55" s="14">
        <f t="shared" si="122"/>
        <v>0</v>
      </c>
      <c r="BH55" s="14">
        <f t="shared" si="122"/>
        <v>0</v>
      </c>
      <c r="BI55" s="14">
        <f t="shared" si="122"/>
        <v>0</v>
      </c>
      <c r="BJ55" s="14">
        <f t="shared" si="122"/>
        <v>0</v>
      </c>
      <c r="BK55" s="14">
        <f t="shared" si="122"/>
        <v>0</v>
      </c>
      <c r="BL55" s="14">
        <f t="shared" si="122"/>
        <v>0</v>
      </c>
      <c r="BM55" s="14">
        <f t="shared" si="122"/>
        <v>0</v>
      </c>
      <c r="BN55" s="225"/>
      <c r="BO55" s="14"/>
      <c r="BP55" s="107">
        <f>SUM(F55:Q55)</f>
        <v>0</v>
      </c>
      <c r="BQ55" s="107">
        <f>SUM(R55:AC55)</f>
        <v>0</v>
      </c>
      <c r="BR55" s="107">
        <f>SUM(AD55:AO55)</f>
        <v>0</v>
      </c>
      <c r="BS55" s="107">
        <f>SUM(AP55:BA55)</f>
        <v>0</v>
      </c>
      <c r="BT55" s="107">
        <f>SUM(BB55:BM55)</f>
        <v>0</v>
      </c>
      <c r="BU55" s="107">
        <f>SUM(BP55:BT55)</f>
        <v>0</v>
      </c>
      <c r="BV55" s="97"/>
    </row>
    <row r="56" spans="1:74" ht="27.75" outlineLevel="1" x14ac:dyDescent="0.2">
      <c r="C56" s="205" t="s">
        <v>121</v>
      </c>
      <c r="D56" s="202" t="s">
        <v>7</v>
      </c>
      <c r="E56" s="239"/>
      <c r="F56" s="240">
        <f>'Вводные данные'!E24</f>
        <v>0</v>
      </c>
      <c r="G56" s="240">
        <f>F56</f>
        <v>0</v>
      </c>
      <c r="H56" s="240">
        <f t="shared" ref="H56:BM56" si="123">G56</f>
        <v>0</v>
      </c>
      <c r="I56" s="240">
        <f t="shared" si="123"/>
        <v>0</v>
      </c>
      <c r="J56" s="240">
        <f t="shared" si="123"/>
        <v>0</v>
      </c>
      <c r="K56" s="240">
        <f t="shared" si="123"/>
        <v>0</v>
      </c>
      <c r="L56" s="240">
        <f t="shared" si="123"/>
        <v>0</v>
      </c>
      <c r="M56" s="240">
        <f t="shared" si="123"/>
        <v>0</v>
      </c>
      <c r="N56" s="240">
        <f t="shared" si="123"/>
        <v>0</v>
      </c>
      <c r="O56" s="240">
        <f t="shared" si="123"/>
        <v>0</v>
      </c>
      <c r="P56" s="240">
        <f t="shared" si="123"/>
        <v>0</v>
      </c>
      <c r="Q56" s="241">
        <f t="shared" si="123"/>
        <v>0</v>
      </c>
      <c r="R56" s="240">
        <f t="shared" si="123"/>
        <v>0</v>
      </c>
      <c r="S56" s="240">
        <f t="shared" si="123"/>
        <v>0</v>
      </c>
      <c r="T56" s="240">
        <f t="shared" si="123"/>
        <v>0</v>
      </c>
      <c r="U56" s="240">
        <f t="shared" si="123"/>
        <v>0</v>
      </c>
      <c r="V56" s="240">
        <f t="shared" si="123"/>
        <v>0</v>
      </c>
      <c r="W56" s="240">
        <f t="shared" si="123"/>
        <v>0</v>
      </c>
      <c r="X56" s="240">
        <f t="shared" si="123"/>
        <v>0</v>
      </c>
      <c r="Y56" s="240">
        <f t="shared" si="123"/>
        <v>0</v>
      </c>
      <c r="Z56" s="240">
        <f t="shared" si="123"/>
        <v>0</v>
      </c>
      <c r="AA56" s="240">
        <f t="shared" si="123"/>
        <v>0</v>
      </c>
      <c r="AB56" s="240">
        <f t="shared" si="123"/>
        <v>0</v>
      </c>
      <c r="AC56" s="241">
        <f t="shared" si="123"/>
        <v>0</v>
      </c>
      <c r="AD56" s="240">
        <f t="shared" si="123"/>
        <v>0</v>
      </c>
      <c r="AE56" s="240">
        <f t="shared" si="123"/>
        <v>0</v>
      </c>
      <c r="AF56" s="240">
        <f t="shared" si="123"/>
        <v>0</v>
      </c>
      <c r="AG56" s="240">
        <f t="shared" si="123"/>
        <v>0</v>
      </c>
      <c r="AH56" s="240">
        <f t="shared" si="123"/>
        <v>0</v>
      </c>
      <c r="AI56" s="240">
        <f t="shared" si="123"/>
        <v>0</v>
      </c>
      <c r="AJ56" s="240">
        <f t="shared" si="123"/>
        <v>0</v>
      </c>
      <c r="AK56" s="240">
        <f t="shared" si="123"/>
        <v>0</v>
      </c>
      <c r="AL56" s="240">
        <f t="shared" si="123"/>
        <v>0</v>
      </c>
      <c r="AM56" s="240">
        <f t="shared" si="123"/>
        <v>0</v>
      </c>
      <c r="AN56" s="240">
        <f t="shared" si="123"/>
        <v>0</v>
      </c>
      <c r="AO56" s="241">
        <f t="shared" si="123"/>
        <v>0</v>
      </c>
      <c r="AP56" s="240">
        <f t="shared" si="123"/>
        <v>0</v>
      </c>
      <c r="AQ56" s="240">
        <f t="shared" si="123"/>
        <v>0</v>
      </c>
      <c r="AR56" s="240">
        <f t="shared" si="123"/>
        <v>0</v>
      </c>
      <c r="AS56" s="240">
        <f t="shared" si="123"/>
        <v>0</v>
      </c>
      <c r="AT56" s="240">
        <f t="shared" si="123"/>
        <v>0</v>
      </c>
      <c r="AU56" s="240">
        <f t="shared" si="123"/>
        <v>0</v>
      </c>
      <c r="AV56" s="240">
        <f t="shared" si="123"/>
        <v>0</v>
      </c>
      <c r="AW56" s="240">
        <f t="shared" si="123"/>
        <v>0</v>
      </c>
      <c r="AX56" s="240">
        <f t="shared" si="123"/>
        <v>0</v>
      </c>
      <c r="AY56" s="240">
        <f t="shared" si="123"/>
        <v>0</v>
      </c>
      <c r="AZ56" s="240">
        <f t="shared" si="123"/>
        <v>0</v>
      </c>
      <c r="BA56" s="241">
        <f t="shared" si="123"/>
        <v>0</v>
      </c>
      <c r="BB56" s="240">
        <f t="shared" si="123"/>
        <v>0</v>
      </c>
      <c r="BC56" s="240">
        <f t="shared" si="123"/>
        <v>0</v>
      </c>
      <c r="BD56" s="240">
        <f t="shared" si="123"/>
        <v>0</v>
      </c>
      <c r="BE56" s="240">
        <f t="shared" si="123"/>
        <v>0</v>
      </c>
      <c r="BF56" s="240">
        <f t="shared" si="123"/>
        <v>0</v>
      </c>
      <c r="BG56" s="240">
        <f t="shared" si="123"/>
        <v>0</v>
      </c>
      <c r="BH56" s="240">
        <f t="shared" si="123"/>
        <v>0</v>
      </c>
      <c r="BI56" s="240">
        <f t="shared" si="123"/>
        <v>0</v>
      </c>
      <c r="BJ56" s="240">
        <f t="shared" si="123"/>
        <v>0</v>
      </c>
      <c r="BK56" s="240">
        <f t="shared" si="123"/>
        <v>0</v>
      </c>
      <c r="BL56" s="240">
        <f t="shared" si="123"/>
        <v>0</v>
      </c>
      <c r="BM56" s="240">
        <f t="shared" si="123"/>
        <v>0</v>
      </c>
      <c r="BN56" s="240"/>
      <c r="BO56" s="240"/>
    </row>
    <row r="57" spans="1:74" outlineLevel="1" x14ac:dyDescent="0.2">
      <c r="C57" s="205" t="s">
        <v>131</v>
      </c>
      <c r="D57" s="202" t="s">
        <v>25</v>
      </c>
      <c r="E57" s="239"/>
      <c r="F57" s="242">
        <f>F56*F42</f>
        <v>0</v>
      </c>
      <c r="G57" s="242">
        <f t="shared" ref="G57:BM57" si="124">G56*G42</f>
        <v>0</v>
      </c>
      <c r="H57" s="242">
        <f t="shared" si="124"/>
        <v>0</v>
      </c>
      <c r="I57" s="242">
        <f t="shared" si="124"/>
        <v>0</v>
      </c>
      <c r="J57" s="242">
        <f t="shared" si="124"/>
        <v>0</v>
      </c>
      <c r="K57" s="242">
        <f t="shared" si="124"/>
        <v>0</v>
      </c>
      <c r="L57" s="242">
        <f t="shared" si="124"/>
        <v>0</v>
      </c>
      <c r="M57" s="242">
        <f t="shared" si="124"/>
        <v>0</v>
      </c>
      <c r="N57" s="242">
        <f t="shared" si="124"/>
        <v>0</v>
      </c>
      <c r="O57" s="242">
        <f t="shared" si="124"/>
        <v>0</v>
      </c>
      <c r="P57" s="242">
        <f t="shared" si="124"/>
        <v>0</v>
      </c>
      <c r="Q57" s="243">
        <f t="shared" si="124"/>
        <v>0</v>
      </c>
      <c r="R57" s="242">
        <f t="shared" si="124"/>
        <v>0</v>
      </c>
      <c r="S57" s="242">
        <f t="shared" si="124"/>
        <v>0</v>
      </c>
      <c r="T57" s="242">
        <f t="shared" si="124"/>
        <v>0</v>
      </c>
      <c r="U57" s="242">
        <f t="shared" si="124"/>
        <v>0</v>
      </c>
      <c r="V57" s="242">
        <f t="shared" si="124"/>
        <v>0</v>
      </c>
      <c r="W57" s="242">
        <f t="shared" si="124"/>
        <v>0</v>
      </c>
      <c r="X57" s="242">
        <f t="shared" si="124"/>
        <v>0</v>
      </c>
      <c r="Y57" s="242">
        <f t="shared" si="124"/>
        <v>0</v>
      </c>
      <c r="Z57" s="242">
        <f t="shared" si="124"/>
        <v>0</v>
      </c>
      <c r="AA57" s="242">
        <f t="shared" si="124"/>
        <v>0</v>
      </c>
      <c r="AB57" s="242">
        <f t="shared" si="124"/>
        <v>0</v>
      </c>
      <c r="AC57" s="243">
        <f t="shared" si="124"/>
        <v>0</v>
      </c>
      <c r="AD57" s="242">
        <f t="shared" si="124"/>
        <v>0</v>
      </c>
      <c r="AE57" s="242">
        <f t="shared" si="124"/>
        <v>0</v>
      </c>
      <c r="AF57" s="242">
        <f t="shared" si="124"/>
        <v>0</v>
      </c>
      <c r="AG57" s="242">
        <f t="shared" si="124"/>
        <v>0</v>
      </c>
      <c r="AH57" s="242">
        <f t="shared" si="124"/>
        <v>0</v>
      </c>
      <c r="AI57" s="242">
        <f t="shared" si="124"/>
        <v>0</v>
      </c>
      <c r="AJ57" s="242">
        <f t="shared" si="124"/>
        <v>0</v>
      </c>
      <c r="AK57" s="242">
        <f t="shared" si="124"/>
        <v>0</v>
      </c>
      <c r="AL57" s="242">
        <f t="shared" si="124"/>
        <v>0</v>
      </c>
      <c r="AM57" s="242">
        <f t="shared" si="124"/>
        <v>0</v>
      </c>
      <c r="AN57" s="242">
        <f t="shared" si="124"/>
        <v>0</v>
      </c>
      <c r="AO57" s="243">
        <f t="shared" si="124"/>
        <v>0</v>
      </c>
      <c r="AP57" s="242">
        <f t="shared" si="124"/>
        <v>0</v>
      </c>
      <c r="AQ57" s="242">
        <f t="shared" si="124"/>
        <v>0</v>
      </c>
      <c r="AR57" s="242">
        <f t="shared" si="124"/>
        <v>0</v>
      </c>
      <c r="AS57" s="242">
        <f t="shared" si="124"/>
        <v>0</v>
      </c>
      <c r="AT57" s="242">
        <f t="shared" si="124"/>
        <v>0</v>
      </c>
      <c r="AU57" s="242">
        <f t="shared" si="124"/>
        <v>0</v>
      </c>
      <c r="AV57" s="242">
        <f t="shared" si="124"/>
        <v>0</v>
      </c>
      <c r="AW57" s="242">
        <f t="shared" si="124"/>
        <v>0</v>
      </c>
      <c r="AX57" s="242">
        <f t="shared" si="124"/>
        <v>0</v>
      </c>
      <c r="AY57" s="242">
        <f t="shared" si="124"/>
        <v>0</v>
      </c>
      <c r="AZ57" s="242">
        <f t="shared" si="124"/>
        <v>0</v>
      </c>
      <c r="BA57" s="243">
        <f t="shared" si="124"/>
        <v>0</v>
      </c>
      <c r="BB57" s="242">
        <f t="shared" si="124"/>
        <v>0</v>
      </c>
      <c r="BC57" s="242">
        <f t="shared" si="124"/>
        <v>0</v>
      </c>
      <c r="BD57" s="242">
        <f t="shared" si="124"/>
        <v>0</v>
      </c>
      <c r="BE57" s="242">
        <f t="shared" si="124"/>
        <v>0</v>
      </c>
      <c r="BF57" s="242">
        <f t="shared" si="124"/>
        <v>0</v>
      </c>
      <c r="BG57" s="242">
        <f t="shared" si="124"/>
        <v>0</v>
      </c>
      <c r="BH57" s="242">
        <f t="shared" si="124"/>
        <v>0</v>
      </c>
      <c r="BI57" s="242">
        <f t="shared" si="124"/>
        <v>0</v>
      </c>
      <c r="BJ57" s="242">
        <f t="shared" si="124"/>
        <v>0</v>
      </c>
      <c r="BK57" s="242">
        <f t="shared" si="124"/>
        <v>0</v>
      </c>
      <c r="BL57" s="242">
        <f t="shared" si="124"/>
        <v>0</v>
      </c>
      <c r="BM57" s="242">
        <f t="shared" si="124"/>
        <v>0</v>
      </c>
      <c r="BO57" s="242"/>
    </row>
    <row r="58" spans="1:74" outlineLevel="1" x14ac:dyDescent="0.2">
      <c r="C58" s="205" t="s">
        <v>132</v>
      </c>
      <c r="D58" s="202" t="s">
        <v>25</v>
      </c>
      <c r="E58" s="239"/>
      <c r="F58" s="242">
        <f>F57-F49</f>
        <v>-163880.00000000003</v>
      </c>
      <c r="G58" s="242">
        <f t="shared" ref="G58:BM58" si="125">G57-G49</f>
        <v>-82281.416666666686</v>
      </c>
      <c r="H58" s="242">
        <f t="shared" si="125"/>
        <v>-82624.255902777804</v>
      </c>
      <c r="I58" s="242">
        <f t="shared" si="125"/>
        <v>-82968.523635706035</v>
      </c>
      <c r="J58" s="242">
        <f t="shared" si="125"/>
        <v>-83314.225817521481</v>
      </c>
      <c r="K58" s="242">
        <f t="shared" si="125"/>
        <v>-83661.368425094479</v>
      </c>
      <c r="L58" s="242">
        <f t="shared" si="125"/>
        <v>-84009.957460199046</v>
      </c>
      <c r="M58" s="242">
        <f t="shared" si="125"/>
        <v>-84359.998949616551</v>
      </c>
      <c r="N58" s="242">
        <f t="shared" si="125"/>
        <v>-84711.498945239946</v>
      </c>
      <c r="O58" s="242">
        <f t="shared" si="125"/>
        <v>-85064.463524178442</v>
      </c>
      <c r="P58" s="242">
        <f t="shared" si="125"/>
        <v>-85418.898788862512</v>
      </c>
      <c r="Q58" s="243">
        <f t="shared" si="125"/>
        <v>-85774.810867149426</v>
      </c>
      <c r="R58" s="242">
        <f t="shared" si="125"/>
        <v>-86132.205912429228</v>
      </c>
      <c r="S58" s="242">
        <f t="shared" si="125"/>
        <v>-86491.09010373101</v>
      </c>
      <c r="T58" s="242">
        <f t="shared" si="125"/>
        <v>-86851.469645829886</v>
      </c>
      <c r="U58" s="242">
        <f t="shared" si="125"/>
        <v>-87213.350769354176</v>
      </c>
      <c r="V58" s="242">
        <f t="shared" si="125"/>
        <v>-87576.739730893154</v>
      </c>
      <c r="W58" s="242">
        <f t="shared" si="125"/>
        <v>-87941.642813105209</v>
      </c>
      <c r="X58" s="242">
        <f t="shared" si="125"/>
        <v>-88308.066324826475</v>
      </c>
      <c r="Y58" s="242">
        <f t="shared" si="125"/>
        <v>-88676.016601179916</v>
      </c>
      <c r="Z58" s="242">
        <f t="shared" si="125"/>
        <v>-89045.500003684836</v>
      </c>
      <c r="AA58" s="242">
        <f t="shared" si="125"/>
        <v>-89416.522920366842</v>
      </c>
      <c r="AB58" s="242">
        <f t="shared" si="125"/>
        <v>-89789.091765868361</v>
      </c>
      <c r="AC58" s="243">
        <f t="shared" si="125"/>
        <v>-90163.212981559482</v>
      </c>
      <c r="AD58" s="242">
        <f t="shared" si="125"/>
        <v>-90538.893035649322</v>
      </c>
      <c r="AE58" s="242">
        <f t="shared" si="125"/>
        <v>-90916.138423297845</v>
      </c>
      <c r="AF58" s="242">
        <f t="shared" si="125"/>
        <v>-91294.95566672826</v>
      </c>
      <c r="AG58" s="242">
        <f t="shared" si="125"/>
        <v>-91675.351315339634</v>
      </c>
      <c r="AH58" s="242">
        <f t="shared" si="125"/>
        <v>-92057.331945820202</v>
      </c>
      <c r="AI58" s="242">
        <f t="shared" si="125"/>
        <v>-92440.904162261126</v>
      </c>
      <c r="AJ58" s="242">
        <f t="shared" si="125"/>
        <v>-92826.074596270555</v>
      </c>
      <c r="AK58" s="242">
        <f t="shared" si="125"/>
        <v>-93212.849907088341</v>
      </c>
      <c r="AL58" s="242">
        <f t="shared" si="125"/>
        <v>-93601.236781701213</v>
      </c>
      <c r="AM58" s="242">
        <f t="shared" si="125"/>
        <v>-93991.241934958292</v>
      </c>
      <c r="AN58" s="242">
        <f t="shared" si="125"/>
        <v>-94382.872109687291</v>
      </c>
      <c r="AO58" s="243">
        <f t="shared" si="125"/>
        <v>-94776.13407681098</v>
      </c>
      <c r="AP58" s="242">
        <f t="shared" si="125"/>
        <v>-95171.03463546437</v>
      </c>
      <c r="AQ58" s="242">
        <f t="shared" si="125"/>
        <v>-95567.580613112135</v>
      </c>
      <c r="AR58" s="242">
        <f t="shared" si="125"/>
        <v>-95965.778865666769</v>
      </c>
      <c r="AS58" s="242">
        <f t="shared" si="125"/>
        <v>-96365.636277607045</v>
      </c>
      <c r="AT58" s="242">
        <f t="shared" si="125"/>
        <v>-96767.159762097057</v>
      </c>
      <c r="AU58" s="242">
        <f t="shared" si="125"/>
        <v>-97170.356261105786</v>
      </c>
      <c r="AV58" s="242">
        <f t="shared" si="125"/>
        <v>-97575.232745527057</v>
      </c>
      <c r="AW58" s="242">
        <f t="shared" si="125"/>
        <v>-97981.796215300084</v>
      </c>
      <c r="AX58" s="242">
        <f t="shared" si="125"/>
        <v>-98390.053699530501</v>
      </c>
      <c r="AY58" s="242">
        <f t="shared" si="125"/>
        <v>-98800.012256611881</v>
      </c>
      <c r="AZ58" s="242">
        <f t="shared" si="125"/>
        <v>-99211.678974347771</v>
      </c>
      <c r="BA58" s="243">
        <f t="shared" si="125"/>
        <v>-99625.060970074221</v>
      </c>
      <c r="BB58" s="242">
        <f t="shared" si="125"/>
        <v>-100040.16539078286</v>
      </c>
      <c r="BC58" s="242">
        <f t="shared" si="125"/>
        <v>-100456.99941324447</v>
      </c>
      <c r="BD58" s="242">
        <f t="shared" si="125"/>
        <v>-100875.57024413298</v>
      </c>
      <c r="BE58" s="242">
        <f t="shared" si="125"/>
        <v>-101295.8851201502</v>
      </c>
      <c r="BF58" s="242">
        <f t="shared" si="125"/>
        <v>-101717.95130815083</v>
      </c>
      <c r="BG58" s="242">
        <f t="shared" si="125"/>
        <v>-102141.77610526813</v>
      </c>
      <c r="BH58" s="242">
        <f t="shared" si="125"/>
        <v>-102567.36683904007</v>
      </c>
      <c r="BI58" s="242">
        <f t="shared" si="125"/>
        <v>-102994.73086753607</v>
      </c>
      <c r="BJ58" s="242">
        <f t="shared" si="125"/>
        <v>-103423.87557948414</v>
      </c>
      <c r="BK58" s="242">
        <f t="shared" si="125"/>
        <v>-103854.80839439864</v>
      </c>
      <c r="BL58" s="242">
        <f t="shared" si="125"/>
        <v>-104287.53676270864</v>
      </c>
      <c r="BM58" s="242">
        <f t="shared" si="125"/>
        <v>-104722.06816588658</v>
      </c>
      <c r="BO58" s="242"/>
    </row>
    <row r="59" spans="1:74" x14ac:dyDescent="0.2">
      <c r="C59" s="4"/>
      <c r="BO59" s="225">
        <f t="shared" si="57"/>
        <v>0</v>
      </c>
    </row>
    <row r="60" spans="1:74" s="1" customFormat="1" x14ac:dyDescent="0.2">
      <c r="A60" s="34"/>
      <c r="B60" s="34"/>
      <c r="C60" s="106" t="s">
        <v>210</v>
      </c>
      <c r="D60" s="35" t="s">
        <v>25</v>
      </c>
      <c r="E60" s="35"/>
      <c r="F60" s="14">
        <f>IF('Вводные данные'!$E$66="нет",F61*F46,F61*F46*F8)</f>
        <v>21760.000000000004</v>
      </c>
      <c r="G60" s="14">
        <f>IF('Вводные данные'!$E$66="нет",G61*G46,G61*G46*G8)</f>
        <v>21760.000000000004</v>
      </c>
      <c r="H60" s="14">
        <f>IF('Вводные данные'!$E$66="нет",H61*H46,H61*H46*H8)</f>
        <v>21760.000000000004</v>
      </c>
      <c r="I60" s="14">
        <f>IF('Вводные данные'!$E$66="нет",I61*I46,I61*I46*I8)</f>
        <v>21760.000000000004</v>
      </c>
      <c r="J60" s="14">
        <f>IF('Вводные данные'!$E$66="нет",J61*J46,J61*J46*J8)</f>
        <v>21760.000000000004</v>
      </c>
      <c r="K60" s="14">
        <f>IF('Вводные данные'!$E$66="нет",K61*K46,K61*K46*K8)</f>
        <v>21760.000000000004</v>
      </c>
      <c r="L60" s="14">
        <f>IF('Вводные данные'!$E$66="нет",L61*L46,L61*L46*L8)</f>
        <v>21760.000000000004</v>
      </c>
      <c r="M60" s="14">
        <f>IF('Вводные данные'!$E$66="нет",M61*M46,M61*M46*M8)</f>
        <v>21760.000000000004</v>
      </c>
      <c r="N60" s="14">
        <f>IF('Вводные данные'!$E$66="нет",N61*N46,N61*N46*N8)</f>
        <v>21760.000000000004</v>
      </c>
      <c r="O60" s="14">
        <f>IF('Вводные данные'!$E$66="нет",O61*O46,O61*O46*O8)</f>
        <v>21760.000000000004</v>
      </c>
      <c r="P60" s="14">
        <f>IF('Вводные данные'!$E$66="нет",P61*P46,P61*P46*P8)</f>
        <v>21760.000000000004</v>
      </c>
      <c r="Q60" s="14">
        <f>IF('Вводные данные'!$E$66="нет",Q61*Q46,Q61*Q46*Q8)</f>
        <v>21760.000000000004</v>
      </c>
      <c r="R60" s="14">
        <f>IF('Вводные данные'!$E$66="нет",R61*R46,R61*R46*R8)</f>
        <v>21886.933333333338</v>
      </c>
      <c r="S60" s="14">
        <f>IF('Вводные данные'!$E$66="нет",S61*S46,S61*S46*S8)</f>
        <v>22014.607111111116</v>
      </c>
      <c r="T60" s="14">
        <f>IF('Вводные данные'!$E$66="нет",T61*T46,T61*T46*T8)</f>
        <v>22143.025652592598</v>
      </c>
      <c r="U60" s="14">
        <f>IF('Вводные данные'!$E$66="нет",U61*U46,U61*U46*U8)</f>
        <v>22272.193302232721</v>
      </c>
      <c r="V60" s="14">
        <f>IF('Вводные данные'!$E$66="нет",V61*V46,V61*V46*V8)</f>
        <v>22402.114429829082</v>
      </c>
      <c r="W60" s="14">
        <f>IF('Вводные данные'!$E$66="нет",W61*W46,W61*W46*W8)</f>
        <v>22532.79343066975</v>
      </c>
      <c r="X60" s="14">
        <f>IF('Вводные данные'!$E$66="нет",X61*X46,X61*X46*X8)</f>
        <v>22664.234725681988</v>
      </c>
      <c r="Y60" s="14">
        <f>IF('Вводные данные'!$E$66="нет",Y61*Y46,Y61*Y46*Y8)</f>
        <v>22796.442761581802</v>
      </c>
      <c r="Z60" s="14">
        <f>IF('Вводные данные'!$E$66="нет",Z61*Z46,Z61*Z46*Z8)</f>
        <v>22929.422011024366</v>
      </c>
      <c r="AA60" s="14">
        <f>IF('Вводные данные'!$E$66="нет",AA61*AA46,AA61*AA46*AA8)</f>
        <v>23063.17697275534</v>
      </c>
      <c r="AB60" s="14">
        <f>IF('Вводные данные'!$E$66="нет",AB61*AB46,AB61*AB46*AB8)</f>
        <v>23197.71217176308</v>
      </c>
      <c r="AC60" s="14">
        <f>IF('Вводные данные'!$E$66="нет",AC61*AC46,AC61*AC46*AC8)</f>
        <v>23333.032159431703</v>
      </c>
      <c r="AD60" s="14">
        <f>IF('Вводные данные'!$E$66="нет",AD61*AD46,AD61*AD46*AD8)</f>
        <v>23469.141513695053</v>
      </c>
      <c r="AE60" s="14">
        <f>IF('Вводные данные'!$E$66="нет",AE61*AE46,AE61*AE46*AE8)</f>
        <v>23606.044839191607</v>
      </c>
      <c r="AF60" s="14">
        <f>IF('Вводные данные'!$E$66="нет",AF61*AF46,AF61*AF46*AF8)</f>
        <v>23743.746767420227</v>
      </c>
      <c r="AG60" s="14">
        <f>IF('Вводные данные'!$E$66="нет",AG61*AG46,AG61*AG46*AG8)</f>
        <v>23882.251956896846</v>
      </c>
      <c r="AH60" s="14">
        <f>IF('Вводные данные'!$E$66="нет",AH61*AH46,AH61*AH46*AH8)</f>
        <v>24021.565093312081</v>
      </c>
      <c r="AI60" s="14">
        <f>IF('Вводные данные'!$E$66="нет",AI61*AI46,AI61*AI46*AI8)</f>
        <v>24161.690889689733</v>
      </c>
      <c r="AJ60" s="14">
        <f>IF('Вводные данные'!$E$66="нет",AJ61*AJ46,AJ61*AJ46*AJ8)</f>
        <v>24302.634086546259</v>
      </c>
      <c r="AK60" s="14">
        <f>IF('Вводные данные'!$E$66="нет",AK61*AK46,AK61*AK46*AK8)</f>
        <v>24444.399452051115</v>
      </c>
      <c r="AL60" s="14">
        <f>IF('Вводные данные'!$E$66="нет",AL61*AL46,AL61*AL46*AL8)</f>
        <v>24586.991782188077</v>
      </c>
      <c r="AM60" s="14">
        <f>IF('Вводные данные'!$E$66="нет",AM61*AM46,AM61*AM46*AM8)</f>
        <v>24730.415900917509</v>
      </c>
      <c r="AN60" s="14">
        <f>IF('Вводные данные'!$E$66="нет",AN61*AN46,AN61*AN46*AN8)</f>
        <v>24874.67666033953</v>
      </c>
      <c r="AO60" s="14">
        <f>IF('Вводные данные'!$E$66="нет",AO61*AO46,AO61*AO46*AO8)</f>
        <v>25019.778940858178</v>
      </c>
      <c r="AP60" s="14">
        <f>IF('Вводные данные'!$E$66="нет",AP61*AP46,AP61*AP46*AP8)</f>
        <v>25165.727651346519</v>
      </c>
      <c r="AQ60" s="14">
        <f>IF('Вводные данные'!$E$66="нет",AQ61*AQ46,AQ61*AQ46*AQ8)</f>
        <v>25312.527729312711</v>
      </c>
      <c r="AR60" s="14">
        <f>IF('Вводные данные'!$E$66="нет",AR61*AR46,AR61*AR46*AR8)</f>
        <v>25460.184141067039</v>
      </c>
      <c r="AS60" s="14">
        <f>IF('Вводные данные'!$E$66="нет",AS61*AS46,AS61*AS46*AS8)</f>
        <v>25608.701881889927</v>
      </c>
      <c r="AT60" s="14">
        <f>IF('Вводные данные'!$E$66="нет",AT61*AT46,AT61*AT46*AT8)</f>
        <v>25758.085976200953</v>
      </c>
      <c r="AU60" s="14">
        <f>IF('Вводные данные'!$E$66="нет",AU61*AU46,AU61*AU46*AU8)</f>
        <v>25908.341477728794</v>
      </c>
      <c r="AV60" s="14">
        <f>IF('Вводные данные'!$E$66="нет",AV61*AV46,AV61*AV46*AV8)</f>
        <v>26059.473469682212</v>
      </c>
      <c r="AW60" s="14">
        <f>IF('Вводные данные'!$E$66="нет",AW61*AW46,AW61*AW46*AW8)</f>
        <v>26211.487064922028</v>
      </c>
      <c r="AX60" s="14">
        <f>IF('Вводные данные'!$E$66="нет",AX61*AX46,AX61*AX46*AX8)</f>
        <v>26364.387406134072</v>
      </c>
      <c r="AY60" s="14">
        <f>IF('Вводные данные'!$E$66="нет",AY61*AY46,AY61*AY46*AY8)</f>
        <v>26518.179666003187</v>
      </c>
      <c r="AZ60" s="14">
        <f>IF('Вводные данные'!$E$66="нет",AZ61*AZ46,AZ61*AZ46*AZ8)</f>
        <v>26672.869047388205</v>
      </c>
      <c r="BA60" s="14">
        <f>IF('Вводные данные'!$E$66="нет",BA61*BA46,BA61*BA46*BA8)</f>
        <v>26828.460783497972</v>
      </c>
      <c r="BB60" s="14">
        <f>IF('Вводные данные'!$E$66="нет",BB61*BB46,BB61*BB46*BB8)</f>
        <v>26984.960138068382</v>
      </c>
      <c r="BC60" s="14">
        <f>IF('Вводные данные'!$E$66="нет",BC61*BC46,BC61*BC46*BC8)</f>
        <v>27142.372405540445</v>
      </c>
      <c r="BD60" s="14">
        <f>IF('Вводные данные'!$E$66="нет",BD61*BD46,BD61*BD46*BD8)</f>
        <v>27300.702911239434</v>
      </c>
      <c r="BE60" s="14">
        <f>IF('Вводные данные'!$E$66="нет",BE61*BE46,BE61*BE46*BE8)</f>
        <v>27459.957011554994</v>
      </c>
      <c r="BF60" s="14">
        <f>IF('Вводные данные'!$E$66="нет",BF61*BF46,BF61*BF46*BF8)</f>
        <v>27620.140094122402</v>
      </c>
      <c r="BG60" s="14">
        <f>IF('Вводные данные'!$E$66="нет",BG61*BG46,BG61*BG46*BG8)</f>
        <v>27781.257578004785</v>
      </c>
      <c r="BH60" s="14">
        <f>IF('Вводные данные'!$E$66="нет",BH61*BH46,BH61*BH46*BH8)</f>
        <v>27943.314913876478</v>
      </c>
      <c r="BI60" s="14">
        <f>IF('Вводные данные'!$E$66="нет",BI61*BI46,BI61*BI46*BI8)</f>
        <v>28106.317584207423</v>
      </c>
      <c r="BJ60" s="14">
        <f>IF('Вводные данные'!$E$66="нет",BJ61*BJ46,BJ61*BJ46*BJ8)</f>
        <v>28270.271103448638</v>
      </c>
      <c r="BK60" s="14">
        <f>IF('Вводные данные'!$E$66="нет",BK61*BK46,BK61*BK46*BK8)</f>
        <v>28435.181018218751</v>
      </c>
      <c r="BL60" s="14">
        <f>IF('Вводные данные'!$E$66="нет",BL61*BL46,BL61*BL46*BL8)</f>
        <v>28601.052907491696</v>
      </c>
      <c r="BM60" s="14">
        <f>IF('Вводные данные'!$E$66="нет",BM61*BM46,BM61*BM46*BM8)</f>
        <v>28767.892382785398</v>
      </c>
      <c r="BN60" s="14"/>
      <c r="BO60" s="14">
        <f t="shared" si="57"/>
        <v>1469480.8722888459</v>
      </c>
      <c r="BP60" s="107">
        <f>SUM(F60:Q60)</f>
        <v>261120.00000000003</v>
      </c>
      <c r="BQ60" s="107">
        <f>SUM(R60:AC60)</f>
        <v>271235.6880620069</v>
      </c>
      <c r="BR60" s="107">
        <f>SUM(AD60:AO60)</f>
        <v>290843.33788310626</v>
      </c>
      <c r="BS60" s="107">
        <f>SUM(AP60:BA60)</f>
        <v>311868.42629517359</v>
      </c>
      <c r="BT60" s="107">
        <f>SUM(BB60:BM60)</f>
        <v>334413.42004855885</v>
      </c>
      <c r="BU60" s="107">
        <f>SUM(BP60:BT60)</f>
        <v>1469480.8722888457</v>
      </c>
      <c r="BV60" s="97"/>
    </row>
    <row r="61" spans="1:74" outlineLevel="1" x14ac:dyDescent="0.2">
      <c r="C61" s="201" t="str">
        <f>'Вводные данные'!C51</f>
        <v>Коммунальные платежи в мес. на 1 м2 (электричество, вода, эксплутатация, уборка)</v>
      </c>
      <c r="D61" s="202" t="s">
        <v>25</v>
      </c>
      <c r="E61" s="244"/>
      <c r="F61" s="225">
        <f>'Вводные данные'!E51</f>
        <v>400</v>
      </c>
      <c r="G61" s="225">
        <f>F61</f>
        <v>400</v>
      </c>
      <c r="H61" s="225">
        <f t="shared" ref="H61:BM61" si="126">G61</f>
        <v>400</v>
      </c>
      <c r="I61" s="225">
        <f t="shared" si="126"/>
        <v>400</v>
      </c>
      <c r="J61" s="225">
        <f t="shared" si="126"/>
        <v>400</v>
      </c>
      <c r="K61" s="225">
        <f t="shared" si="126"/>
        <v>400</v>
      </c>
      <c r="L61" s="225">
        <f t="shared" si="126"/>
        <v>400</v>
      </c>
      <c r="M61" s="225">
        <f t="shared" si="126"/>
        <v>400</v>
      </c>
      <c r="N61" s="225">
        <f t="shared" si="126"/>
        <v>400</v>
      </c>
      <c r="O61" s="225">
        <f t="shared" si="126"/>
        <v>400</v>
      </c>
      <c r="P61" s="225">
        <f t="shared" si="126"/>
        <v>400</v>
      </c>
      <c r="Q61" s="225">
        <f t="shared" si="126"/>
        <v>400</v>
      </c>
      <c r="R61" s="225">
        <f t="shared" si="126"/>
        <v>400</v>
      </c>
      <c r="S61" s="225">
        <f t="shared" si="126"/>
        <v>400</v>
      </c>
      <c r="T61" s="225">
        <f t="shared" si="126"/>
        <v>400</v>
      </c>
      <c r="U61" s="225">
        <f t="shared" si="126"/>
        <v>400</v>
      </c>
      <c r="V61" s="225">
        <f t="shared" si="126"/>
        <v>400</v>
      </c>
      <c r="W61" s="225">
        <f t="shared" si="126"/>
        <v>400</v>
      </c>
      <c r="X61" s="225">
        <f t="shared" si="126"/>
        <v>400</v>
      </c>
      <c r="Y61" s="225">
        <f t="shared" si="126"/>
        <v>400</v>
      </c>
      <c r="Z61" s="225">
        <f t="shared" si="126"/>
        <v>400</v>
      </c>
      <c r="AA61" s="225">
        <f t="shared" si="126"/>
        <v>400</v>
      </c>
      <c r="AB61" s="225">
        <f t="shared" si="126"/>
        <v>400</v>
      </c>
      <c r="AC61" s="225">
        <f t="shared" si="126"/>
        <v>400</v>
      </c>
      <c r="AD61" s="225">
        <f t="shared" si="126"/>
        <v>400</v>
      </c>
      <c r="AE61" s="225">
        <f t="shared" si="126"/>
        <v>400</v>
      </c>
      <c r="AF61" s="225">
        <f t="shared" si="126"/>
        <v>400</v>
      </c>
      <c r="AG61" s="225">
        <f t="shared" si="126"/>
        <v>400</v>
      </c>
      <c r="AH61" s="225">
        <f t="shared" si="126"/>
        <v>400</v>
      </c>
      <c r="AI61" s="225">
        <f t="shared" si="126"/>
        <v>400</v>
      </c>
      <c r="AJ61" s="225">
        <f t="shared" si="126"/>
        <v>400</v>
      </c>
      <c r="AK61" s="225">
        <f t="shared" si="126"/>
        <v>400</v>
      </c>
      <c r="AL61" s="225">
        <f t="shared" si="126"/>
        <v>400</v>
      </c>
      <c r="AM61" s="225">
        <f t="shared" si="126"/>
        <v>400</v>
      </c>
      <c r="AN61" s="225">
        <f t="shared" si="126"/>
        <v>400</v>
      </c>
      <c r="AO61" s="225">
        <f t="shared" si="126"/>
        <v>400</v>
      </c>
      <c r="AP61" s="225">
        <f t="shared" si="126"/>
        <v>400</v>
      </c>
      <c r="AQ61" s="225">
        <f t="shared" si="126"/>
        <v>400</v>
      </c>
      <c r="AR61" s="225">
        <f t="shared" si="126"/>
        <v>400</v>
      </c>
      <c r="AS61" s="225">
        <f t="shared" si="126"/>
        <v>400</v>
      </c>
      <c r="AT61" s="225">
        <f t="shared" si="126"/>
        <v>400</v>
      </c>
      <c r="AU61" s="225">
        <f t="shared" si="126"/>
        <v>400</v>
      </c>
      <c r="AV61" s="225">
        <f t="shared" si="126"/>
        <v>400</v>
      </c>
      <c r="AW61" s="225">
        <f t="shared" si="126"/>
        <v>400</v>
      </c>
      <c r="AX61" s="225">
        <f t="shared" si="126"/>
        <v>400</v>
      </c>
      <c r="AY61" s="225">
        <f t="shared" si="126"/>
        <v>400</v>
      </c>
      <c r="AZ61" s="225">
        <f t="shared" si="126"/>
        <v>400</v>
      </c>
      <c r="BA61" s="225">
        <f t="shared" si="126"/>
        <v>400</v>
      </c>
      <c r="BB61" s="225">
        <f t="shared" si="126"/>
        <v>400</v>
      </c>
      <c r="BC61" s="225">
        <f t="shared" si="126"/>
        <v>400</v>
      </c>
      <c r="BD61" s="225">
        <f t="shared" si="126"/>
        <v>400</v>
      </c>
      <c r="BE61" s="225">
        <f t="shared" si="126"/>
        <v>400</v>
      </c>
      <c r="BF61" s="225">
        <f t="shared" si="126"/>
        <v>400</v>
      </c>
      <c r="BG61" s="225">
        <f t="shared" si="126"/>
        <v>400</v>
      </c>
      <c r="BH61" s="225">
        <f t="shared" si="126"/>
        <v>400</v>
      </c>
      <c r="BI61" s="225">
        <f t="shared" si="126"/>
        <v>400</v>
      </c>
      <c r="BJ61" s="225">
        <f t="shared" si="126"/>
        <v>400</v>
      </c>
      <c r="BK61" s="225">
        <f t="shared" si="126"/>
        <v>400</v>
      </c>
      <c r="BL61" s="225">
        <f t="shared" si="126"/>
        <v>400</v>
      </c>
      <c r="BM61" s="225">
        <f t="shared" si="126"/>
        <v>400</v>
      </c>
      <c r="BO61" s="225">
        <f t="shared" si="57"/>
        <v>24000</v>
      </c>
    </row>
    <row r="62" spans="1:74" x14ac:dyDescent="0.2">
      <c r="C62" s="4"/>
      <c r="BO62" s="225">
        <f t="shared" si="57"/>
        <v>0</v>
      </c>
    </row>
    <row r="63" spans="1:74" s="1" customFormat="1" x14ac:dyDescent="0.2">
      <c r="A63" s="34"/>
      <c r="B63" s="34"/>
      <c r="C63" s="106" t="s">
        <v>12</v>
      </c>
      <c r="D63" s="35" t="s">
        <v>25</v>
      </c>
      <c r="E63" s="35"/>
      <c r="F63" s="14">
        <f>IF('Вводные данные'!$E$66="нет",F64+F65,F64*F8+F65*F8)</f>
        <v>108000</v>
      </c>
      <c r="G63" s="14">
        <f>IF('Вводные данные'!$E$66="нет",G64+G65,G64*G8+G65*G8)</f>
        <v>108000</v>
      </c>
      <c r="H63" s="14">
        <f>IF('Вводные данные'!$E$66="нет",H64+H65,H64*H8+H65*H8)</f>
        <v>108000</v>
      </c>
      <c r="I63" s="14">
        <f>IF('Вводные данные'!$E$66="нет",I64+I65,I64*I8+I65*I8)</f>
        <v>108000</v>
      </c>
      <c r="J63" s="14">
        <f>IF('Вводные данные'!$E$66="нет",J64+J65,J64*J8+J65*J8)</f>
        <v>108000</v>
      </c>
      <c r="K63" s="14">
        <f>IF('Вводные данные'!$E$66="нет",K64+K65,K64*K8+K65*K8)</f>
        <v>108000</v>
      </c>
      <c r="L63" s="14">
        <f>IF('Вводные данные'!$E$66="нет",L64+L65,L64*L8+L65*L8)</f>
        <v>108000</v>
      </c>
      <c r="M63" s="14">
        <f>IF('Вводные данные'!$E$66="нет",M64+M65,M64*M8+M65*M8)</f>
        <v>108000</v>
      </c>
      <c r="N63" s="14">
        <f>IF('Вводные данные'!$E$66="нет",N64+N65,N64*N8+N65*N8)</f>
        <v>108000</v>
      </c>
      <c r="O63" s="14">
        <f>IF('Вводные данные'!$E$66="нет",O64+O65,O64*O8+O65*O8)</f>
        <v>108000</v>
      </c>
      <c r="P63" s="14">
        <f>IF('Вводные данные'!$E$66="нет",P64+P65,P64*P8+P65*P8)</f>
        <v>108000</v>
      </c>
      <c r="Q63" s="14">
        <f>IF('Вводные данные'!$E$66="нет",Q64+Q65,Q64*Q8+Q65*Q8)</f>
        <v>108000</v>
      </c>
      <c r="R63" s="14">
        <f>IF('Вводные данные'!$E$66="нет",R64+R65,R64*R8+R65*R8)</f>
        <v>108630</v>
      </c>
      <c r="S63" s="14">
        <f>IF('Вводные данные'!$E$66="нет",S64+S65,S64*S8+S65*S8)</f>
        <v>109263.675</v>
      </c>
      <c r="T63" s="14">
        <f>IF('Вводные данные'!$E$66="нет",T64+T65,T64*T8+T65*T8)</f>
        <v>109901.04643750002</v>
      </c>
      <c r="U63" s="14">
        <f>IF('Вводные данные'!$E$66="нет",U64+U65,U64*U8+U65*U8)</f>
        <v>110542.13587505209</v>
      </c>
      <c r="V63" s="14">
        <f>IF('Вводные данные'!$E$66="нет",V64+V65,V64*V8+V65*V8)</f>
        <v>111186.96500098991</v>
      </c>
      <c r="W63" s="14">
        <f>IF('Вводные данные'!$E$66="нет",W64+W65,W64*W8+W65*W8)</f>
        <v>111835.55563016234</v>
      </c>
      <c r="X63" s="14">
        <f>IF('Вводные данные'!$E$66="нет",X64+X65,X64*X8+X65*X8)</f>
        <v>112487.92970467162</v>
      </c>
      <c r="Y63" s="14">
        <f>IF('Вводные данные'!$E$66="нет",Y64+Y65,Y64*Y8+Y65*Y8)</f>
        <v>113144.10929461555</v>
      </c>
      <c r="Z63" s="14">
        <f>IF('Вводные данные'!$E$66="нет",Z64+Z65,Z64*Z8+Z65*Z8)</f>
        <v>113804.11659883415</v>
      </c>
      <c r="AA63" s="14">
        <f>IF('Вводные данные'!$E$66="нет",AA64+AA65,AA64*AA8+AA65*AA8)</f>
        <v>114467.97394566068</v>
      </c>
      <c r="AB63" s="14">
        <f>IF('Вводные данные'!$E$66="нет",AB64+AB65,AB64*AB8+AB65*AB8)</f>
        <v>115135.70379367704</v>
      </c>
      <c r="AC63" s="14">
        <f>IF('Вводные данные'!$E$66="нет",AC64+AC65,AC64*AC8+AC65*AC8)</f>
        <v>115807.3287324735</v>
      </c>
      <c r="AD63" s="14">
        <f>IF('Вводные данные'!$E$66="нет",AD64+AD65,AD64*AD8+AD65*AD8)</f>
        <v>116482.87148341292</v>
      </c>
      <c r="AE63" s="14">
        <f>IF('Вводные данные'!$E$66="нет",AE64+AE65,AE64*AE8+AE65*AE8)</f>
        <v>117162.3549003995</v>
      </c>
      <c r="AF63" s="14">
        <f>IF('Вводные данные'!$E$66="нет",AF64+AF65,AF64*AF8+AF65*AF8)</f>
        <v>117845.80197065184</v>
      </c>
      <c r="AG63" s="14">
        <f>IF('Вводные данные'!$E$66="нет",AG64+AG65,AG64*AG8+AG65*AG8)</f>
        <v>118533.23581548064</v>
      </c>
      <c r="AH63" s="14">
        <f>IF('Вводные данные'!$E$66="нет",AH64+AH65,AH64*AH8+AH65*AH8)</f>
        <v>119224.67969107097</v>
      </c>
      <c r="AI63" s="14">
        <f>IF('Вводные данные'!$E$66="нет",AI64+AI65,AI64*AI8+AI65*AI8)</f>
        <v>119920.15698926887</v>
      </c>
      <c r="AJ63" s="14">
        <f>IF('Вводные данные'!$E$66="нет",AJ64+AJ65,AJ64*AJ8+AJ65*AJ8)</f>
        <v>120619.69123837295</v>
      </c>
      <c r="AK63" s="14">
        <f>IF('Вводные данные'!$E$66="нет",AK64+AK65,AK64*AK8+AK65*AK8)</f>
        <v>121323.30610393014</v>
      </c>
      <c r="AL63" s="14">
        <f>IF('Вводные данные'!$E$66="нет",AL64+AL65,AL64*AL8+AL65*AL8)</f>
        <v>122031.0253895364</v>
      </c>
      <c r="AM63" s="14">
        <f>IF('Вводные данные'!$E$66="нет",AM64+AM65,AM64*AM8+AM65*AM8)</f>
        <v>122742.87303764203</v>
      </c>
      <c r="AN63" s="14">
        <f>IF('Вводные данные'!$E$66="нет",AN64+AN65,AN64*AN8+AN65*AN8)</f>
        <v>123458.87313036162</v>
      </c>
      <c r="AO63" s="14">
        <f>IF('Вводные данные'!$E$66="нет",AO64+AO65,AO64*AO8+AO65*AO8)</f>
        <v>124179.04989028873</v>
      </c>
      <c r="AP63" s="14">
        <f>IF('Вводные данные'!$E$66="нет",AP64+AP65,AP64*AP8+AP65*AP8)</f>
        <v>124903.42768131543</v>
      </c>
      <c r="AQ63" s="14">
        <f>IF('Вводные данные'!$E$66="нет",AQ64+AQ65,AQ64*AQ8+AQ65*AQ8)</f>
        <v>125632.03100945645</v>
      </c>
      <c r="AR63" s="14">
        <f>IF('Вводные данные'!$E$66="нет",AR64+AR65,AR64*AR8+AR65*AR8)</f>
        <v>126364.88452367829</v>
      </c>
      <c r="AS63" s="14">
        <f>IF('Вводные данные'!$E$66="нет",AS64+AS65,AS64*AS8+AS65*AS8)</f>
        <v>127102.01301673308</v>
      </c>
      <c r="AT63" s="14">
        <f>IF('Вводные данные'!$E$66="нет",AT64+AT65,AT64*AT8+AT65*AT8)</f>
        <v>127843.44142599736</v>
      </c>
      <c r="AU63" s="14">
        <f>IF('Вводные данные'!$E$66="нет",AU64+AU65,AU64*AU8+AU65*AU8)</f>
        <v>128589.19483431568</v>
      </c>
      <c r="AV63" s="14">
        <f>IF('Вводные данные'!$E$66="нет",AV64+AV65,AV64*AV8+AV65*AV8)</f>
        <v>129339.29847084919</v>
      </c>
      <c r="AW63" s="14">
        <f>IF('Вводные данные'!$E$66="нет",AW64+AW65,AW64*AW8+AW65*AW8)</f>
        <v>130093.77771192916</v>
      </c>
      <c r="AX63" s="14">
        <f>IF('Вводные данные'!$E$66="нет",AX64+AX65,AX64*AX8+AX65*AX8)</f>
        <v>130852.6580819154</v>
      </c>
      <c r="AY63" s="14">
        <f>IF('Вводные данные'!$E$66="нет",AY64+AY65,AY64*AY8+AY65*AY8)</f>
        <v>131615.96525405991</v>
      </c>
      <c r="AZ63" s="14">
        <f>IF('Вводные данные'!$E$66="нет",AZ64+AZ65,AZ64*AZ8+AZ65*AZ8)</f>
        <v>132383.72505137528</v>
      </c>
      <c r="BA63" s="14">
        <f>IF('Вводные данные'!$E$66="нет",BA64+BA65,BA64*BA8+BA65*BA8)</f>
        <v>133155.96344750831</v>
      </c>
      <c r="BB63" s="14">
        <f>IF('Вводные данные'!$E$66="нет",BB64+BB65,BB64*BB8+BB65*BB8)</f>
        <v>133932.70656761879</v>
      </c>
      <c r="BC63" s="14">
        <f>IF('Вводные данные'!$E$66="нет",BC64+BC65,BC64*BC8+BC65*BC8)</f>
        <v>134713.98068926323</v>
      </c>
      <c r="BD63" s="14">
        <f>IF('Вводные данные'!$E$66="нет",BD64+BD65,BD64*BD8+BD65*BD8)</f>
        <v>135499.81224328393</v>
      </c>
      <c r="BE63" s="14">
        <f>IF('Вводные данные'!$E$66="нет",BE64+BE65,BE64*BE8+BE65*BE8)</f>
        <v>136290.22781470307</v>
      </c>
      <c r="BF63" s="14">
        <f>IF('Вводные данные'!$E$66="нет",BF64+BF65,BF64*BF8+BF65*BF8)</f>
        <v>137085.25414362218</v>
      </c>
      <c r="BG63" s="14">
        <f>IF('Вводные данные'!$E$66="нет",BG64+BG65,BG64*BG8+BG65*BG8)</f>
        <v>137884.91812612666</v>
      </c>
      <c r="BH63" s="14">
        <f>IF('Вводные данные'!$E$66="нет",BH64+BH65,BH64*BH8+BH65*BH8)</f>
        <v>138689.24681519574</v>
      </c>
      <c r="BI63" s="14">
        <f>IF('Вводные данные'!$E$66="нет",BI64+BI65,BI64*BI8+BI65*BI8)</f>
        <v>139498.2674216177</v>
      </c>
      <c r="BJ63" s="14">
        <f>IF('Вводные данные'!$E$66="нет",BJ64+BJ65,BJ64*BJ8+BJ65*BJ8)</f>
        <v>140312.0073149105</v>
      </c>
      <c r="BK63" s="14">
        <f>IF('Вводные данные'!$E$66="нет",BK64+BK65,BK64*BK8+BK65*BK8)</f>
        <v>141130.49402424745</v>
      </c>
      <c r="BL63" s="14">
        <f>IF('Вводные данные'!$E$66="нет",BL64+BL65,BL64*BL8+BL65*BL8)</f>
        <v>141953.75523938891</v>
      </c>
      <c r="BM63" s="14">
        <f>IF('Вводные данные'!$E$66="нет",BM64+BM65,BM64*BM8+BM65*BM8)</f>
        <v>142781.81881161866</v>
      </c>
      <c r="BN63" s="14"/>
      <c r="BO63" s="14">
        <f t="shared" si="57"/>
        <v>7293379.3293747837</v>
      </c>
      <c r="BP63" s="107">
        <f>SUM(F63:Q63)</f>
        <v>1296000</v>
      </c>
      <c r="BQ63" s="107">
        <f>SUM(R63:AC63)</f>
        <v>1346206.5400136369</v>
      </c>
      <c r="BR63" s="107">
        <f>SUM(AD63:AO63)</f>
        <v>1443523.9196404167</v>
      </c>
      <c r="BS63" s="107">
        <f>SUM(AP63:BA63)</f>
        <v>1547876.3805091337</v>
      </c>
      <c r="BT63" s="107">
        <f>SUM(BB63:BM63)</f>
        <v>1659772.4892115968</v>
      </c>
      <c r="BU63" s="107">
        <f>SUM(BP63:BT63)</f>
        <v>7293379.3293747837</v>
      </c>
      <c r="BV63" s="97"/>
    </row>
    <row r="64" spans="1:74" outlineLevel="1" x14ac:dyDescent="0.2">
      <c r="C64" s="201" t="s">
        <v>138</v>
      </c>
      <c r="D64" s="226" t="s">
        <v>25</v>
      </c>
      <c r="F64" s="225">
        <f>F47*'Вводные данные'!$E$28</f>
        <v>0</v>
      </c>
      <c r="G64" s="225">
        <f>G47*'Вводные данные'!$E$28</f>
        <v>0</v>
      </c>
      <c r="H64" s="225">
        <f>H47*'Вводные данные'!$E$28</f>
        <v>0</v>
      </c>
      <c r="I64" s="225">
        <f>I47*'Вводные данные'!$E$28</f>
        <v>0</v>
      </c>
      <c r="J64" s="225">
        <f>J47*'Вводные данные'!$E$28</f>
        <v>0</v>
      </c>
      <c r="K64" s="225">
        <f>K47*'Вводные данные'!$E$28</f>
        <v>0</v>
      </c>
      <c r="L64" s="225">
        <f>L47*'Вводные данные'!$E$28</f>
        <v>0</v>
      </c>
      <c r="M64" s="225">
        <f>M47*'Вводные данные'!$E$28</f>
        <v>0</v>
      </c>
      <c r="N64" s="225">
        <f>N47*'Вводные данные'!$E$28</f>
        <v>0</v>
      </c>
      <c r="O64" s="225">
        <f>O47*'Вводные данные'!$E$28</f>
        <v>0</v>
      </c>
      <c r="P64" s="225">
        <f>P47*'Вводные данные'!$E$28</f>
        <v>0</v>
      </c>
      <c r="Q64" s="225">
        <f>Q47*'Вводные данные'!$E$28</f>
        <v>0</v>
      </c>
      <c r="R64" s="225">
        <f>R47*'Вводные данные'!$E$28</f>
        <v>0</v>
      </c>
      <c r="S64" s="225">
        <f>S47*'Вводные данные'!$E$28</f>
        <v>0</v>
      </c>
      <c r="T64" s="225">
        <f>T47*'Вводные данные'!$E$28</f>
        <v>0</v>
      </c>
      <c r="U64" s="225">
        <f>U47*'Вводные данные'!$E$28</f>
        <v>0</v>
      </c>
      <c r="V64" s="225">
        <f>V47*'Вводные данные'!$E$28</f>
        <v>0</v>
      </c>
      <c r="W64" s="225">
        <f>W47*'Вводные данные'!$E$28</f>
        <v>0</v>
      </c>
      <c r="X64" s="225">
        <f>X47*'Вводные данные'!$E$28</f>
        <v>0</v>
      </c>
      <c r="Y64" s="225">
        <f>Y47*'Вводные данные'!$E$28</f>
        <v>0</v>
      </c>
      <c r="Z64" s="225">
        <f>Z47*'Вводные данные'!$E$28</f>
        <v>0</v>
      </c>
      <c r="AA64" s="225">
        <f>AA47*'Вводные данные'!$E$28</f>
        <v>0</v>
      </c>
      <c r="AB64" s="225">
        <f>AB47*'Вводные данные'!$E$28</f>
        <v>0</v>
      </c>
      <c r="AC64" s="225">
        <f>AC47*'Вводные данные'!$E$28</f>
        <v>0</v>
      </c>
      <c r="AD64" s="225">
        <f>AD47*'Вводные данные'!$E$28</f>
        <v>0</v>
      </c>
      <c r="AE64" s="225">
        <f>AE47*'Вводные данные'!$E$28</f>
        <v>0</v>
      </c>
      <c r="AF64" s="225">
        <f>AF47*'Вводные данные'!$E$28</f>
        <v>0</v>
      </c>
      <c r="AG64" s="225">
        <f>AG47*'Вводные данные'!$E$28</f>
        <v>0</v>
      </c>
      <c r="AH64" s="225">
        <f>AH47*'Вводные данные'!$E$28</f>
        <v>0</v>
      </c>
      <c r="AI64" s="225">
        <f>AI47*'Вводные данные'!$E$28</f>
        <v>0</v>
      </c>
      <c r="AJ64" s="225">
        <f>AJ47*'Вводные данные'!$E$28</f>
        <v>0</v>
      </c>
      <c r="AK64" s="225">
        <f>AK47*'Вводные данные'!$E$28</f>
        <v>0</v>
      </c>
      <c r="AL64" s="225">
        <f>AL47*'Вводные данные'!$E$28</f>
        <v>0</v>
      </c>
      <c r="AM64" s="225">
        <f>AM47*'Вводные данные'!$E$28</f>
        <v>0</v>
      </c>
      <c r="AN64" s="225">
        <f>AN47*'Вводные данные'!$E$28</f>
        <v>0</v>
      </c>
      <c r="AO64" s="225">
        <f>AO47*'Вводные данные'!$E$28</f>
        <v>0</v>
      </c>
      <c r="AP64" s="225">
        <f>AP47*'Вводные данные'!$E$28</f>
        <v>0</v>
      </c>
      <c r="AQ64" s="225">
        <f>AQ47*'Вводные данные'!$E$28</f>
        <v>0</v>
      </c>
      <c r="AR64" s="225">
        <f>AR47*'Вводные данные'!$E$28</f>
        <v>0</v>
      </c>
      <c r="AS64" s="225">
        <f>AS47*'Вводные данные'!$E$28</f>
        <v>0</v>
      </c>
      <c r="AT64" s="225">
        <f>AT47*'Вводные данные'!$E$28</f>
        <v>0</v>
      </c>
      <c r="AU64" s="225">
        <f>AU47*'Вводные данные'!$E$28</f>
        <v>0</v>
      </c>
      <c r="AV64" s="225">
        <f>AV47*'Вводные данные'!$E$28</f>
        <v>0</v>
      </c>
      <c r="AW64" s="225">
        <f>AW47*'Вводные данные'!$E$28</f>
        <v>0</v>
      </c>
      <c r="AX64" s="225">
        <f>AX47*'Вводные данные'!$E$28</f>
        <v>0</v>
      </c>
      <c r="AY64" s="225">
        <f>AY47*'Вводные данные'!$E$28</f>
        <v>0</v>
      </c>
      <c r="AZ64" s="225">
        <f>AZ47*'Вводные данные'!$E$28</f>
        <v>0</v>
      </c>
      <c r="BA64" s="225">
        <f>BA47*'Вводные данные'!$E$28</f>
        <v>0</v>
      </c>
      <c r="BB64" s="225">
        <f>BB47*'Вводные данные'!$E$28</f>
        <v>0</v>
      </c>
      <c r="BC64" s="225">
        <f>BC47*'Вводные данные'!$E$28</f>
        <v>0</v>
      </c>
      <c r="BD64" s="225">
        <f>BD47*'Вводные данные'!$E$28</f>
        <v>0</v>
      </c>
      <c r="BE64" s="225">
        <f>BE47*'Вводные данные'!$E$28</f>
        <v>0</v>
      </c>
      <c r="BF64" s="225">
        <f>BF47*'Вводные данные'!$E$28</f>
        <v>0</v>
      </c>
      <c r="BG64" s="225">
        <f>BG47*'Вводные данные'!$E$28</f>
        <v>0</v>
      </c>
      <c r="BH64" s="225">
        <f>BH47*'Вводные данные'!$E$28</f>
        <v>0</v>
      </c>
      <c r="BI64" s="225">
        <f>BI47*'Вводные данные'!$E$28</f>
        <v>0</v>
      </c>
      <c r="BJ64" s="225">
        <f>BJ47*'Вводные данные'!$E$28</f>
        <v>0</v>
      </c>
      <c r="BK64" s="225">
        <f>BK47*'Вводные данные'!$E$28</f>
        <v>0</v>
      </c>
      <c r="BL64" s="225">
        <f>BL47*'Вводные данные'!$E$28</f>
        <v>0</v>
      </c>
      <c r="BM64" s="225">
        <f>BM47*'Вводные данные'!$E$28</f>
        <v>0</v>
      </c>
      <c r="BO64" s="225">
        <f t="shared" si="57"/>
        <v>0</v>
      </c>
    </row>
    <row r="65" spans="1:73" outlineLevel="1" x14ac:dyDescent="0.2">
      <c r="C65" s="201" t="s">
        <v>139</v>
      </c>
      <c r="D65" s="226" t="s">
        <v>25</v>
      </c>
      <c r="F65" s="225">
        <f>F47*'Вводные данные'!$E$30*'Вводные данные'!$E$29</f>
        <v>108000</v>
      </c>
      <c r="G65" s="225">
        <f>G47*'Вводные данные'!$E$30*'Вводные данные'!$E$29</f>
        <v>108000</v>
      </c>
      <c r="H65" s="225">
        <f>H47*'Вводные данные'!$E$30*'Вводные данные'!$E$29</f>
        <v>108000</v>
      </c>
      <c r="I65" s="225">
        <f>I47*'Вводные данные'!$E$30*'Вводные данные'!$E$29</f>
        <v>108000</v>
      </c>
      <c r="J65" s="225">
        <f>J47*'Вводные данные'!$E$30*'Вводные данные'!$E$29</f>
        <v>108000</v>
      </c>
      <c r="K65" s="225">
        <f>K47*'Вводные данные'!$E$30*'Вводные данные'!$E$29</f>
        <v>108000</v>
      </c>
      <c r="L65" s="225">
        <f>L47*'Вводные данные'!$E$30*'Вводные данные'!$E$29</f>
        <v>108000</v>
      </c>
      <c r="M65" s="225">
        <f>M47*'Вводные данные'!$E$30*'Вводные данные'!$E$29</f>
        <v>108000</v>
      </c>
      <c r="N65" s="225">
        <f>N47*'Вводные данные'!$E$30*'Вводные данные'!$E$29</f>
        <v>108000</v>
      </c>
      <c r="O65" s="225">
        <f>O47*'Вводные данные'!$E$30*'Вводные данные'!$E$29</f>
        <v>108000</v>
      </c>
      <c r="P65" s="225">
        <f>P47*'Вводные данные'!$E$30*'Вводные данные'!$E$29</f>
        <v>108000</v>
      </c>
      <c r="Q65" s="225">
        <f>Q47*'Вводные данные'!$E$30*'Вводные данные'!$E$29</f>
        <v>108000</v>
      </c>
      <c r="R65" s="225">
        <f>R47*'Вводные данные'!$E$30*'Вводные данные'!$E$29</f>
        <v>108000</v>
      </c>
      <c r="S65" s="225">
        <f>S47*'Вводные данные'!$E$30*'Вводные данные'!$E$29</f>
        <v>108000</v>
      </c>
      <c r="T65" s="225">
        <f>T47*'Вводные данные'!$E$30*'Вводные данные'!$E$29</f>
        <v>108000</v>
      </c>
      <c r="U65" s="225">
        <f>U47*'Вводные данные'!$E$30*'Вводные данные'!$E$29</f>
        <v>108000</v>
      </c>
      <c r="V65" s="225">
        <f>V47*'Вводные данные'!$E$30*'Вводные данные'!$E$29</f>
        <v>108000</v>
      </c>
      <c r="W65" s="225">
        <f>W47*'Вводные данные'!$E$30*'Вводные данные'!$E$29</f>
        <v>108000</v>
      </c>
      <c r="X65" s="225">
        <f>X47*'Вводные данные'!$E$30*'Вводные данные'!$E$29</f>
        <v>108000</v>
      </c>
      <c r="Y65" s="225">
        <f>Y47*'Вводные данные'!$E$30*'Вводные данные'!$E$29</f>
        <v>108000</v>
      </c>
      <c r="Z65" s="225">
        <f>Z47*'Вводные данные'!$E$30*'Вводные данные'!$E$29</f>
        <v>108000</v>
      </c>
      <c r="AA65" s="225">
        <f>AA47*'Вводные данные'!$E$30*'Вводные данные'!$E$29</f>
        <v>108000</v>
      </c>
      <c r="AB65" s="225">
        <f>AB47*'Вводные данные'!$E$30*'Вводные данные'!$E$29</f>
        <v>108000</v>
      </c>
      <c r="AC65" s="225">
        <f>AC47*'Вводные данные'!$E$30*'Вводные данные'!$E$29</f>
        <v>108000</v>
      </c>
      <c r="AD65" s="225">
        <f>AD47*'Вводные данные'!$E$30*'Вводные данные'!$E$29</f>
        <v>108000</v>
      </c>
      <c r="AE65" s="225">
        <f>AE47*'Вводные данные'!$E$30*'Вводные данные'!$E$29</f>
        <v>108000</v>
      </c>
      <c r="AF65" s="225">
        <f>AF47*'Вводные данные'!$E$30*'Вводные данные'!$E$29</f>
        <v>108000</v>
      </c>
      <c r="AG65" s="225">
        <f>AG47*'Вводные данные'!$E$30*'Вводные данные'!$E$29</f>
        <v>108000</v>
      </c>
      <c r="AH65" s="225">
        <f>AH47*'Вводные данные'!$E$30*'Вводные данные'!$E$29</f>
        <v>108000</v>
      </c>
      <c r="AI65" s="225">
        <f>AI47*'Вводные данные'!$E$30*'Вводные данные'!$E$29</f>
        <v>108000</v>
      </c>
      <c r="AJ65" s="225">
        <f>AJ47*'Вводные данные'!$E$30*'Вводные данные'!$E$29</f>
        <v>108000</v>
      </c>
      <c r="AK65" s="225">
        <f>AK47*'Вводные данные'!$E$30*'Вводные данные'!$E$29</f>
        <v>108000</v>
      </c>
      <c r="AL65" s="225">
        <f>AL47*'Вводные данные'!$E$30*'Вводные данные'!$E$29</f>
        <v>108000</v>
      </c>
      <c r="AM65" s="225">
        <f>AM47*'Вводные данные'!$E$30*'Вводные данные'!$E$29</f>
        <v>108000</v>
      </c>
      <c r="AN65" s="225">
        <f>AN47*'Вводные данные'!$E$30*'Вводные данные'!$E$29</f>
        <v>108000</v>
      </c>
      <c r="AO65" s="225">
        <f>AO47*'Вводные данные'!$E$30*'Вводные данные'!$E$29</f>
        <v>108000</v>
      </c>
      <c r="AP65" s="225">
        <f>AP47*'Вводные данные'!$E$30*'Вводные данные'!$E$29</f>
        <v>108000</v>
      </c>
      <c r="AQ65" s="225">
        <f>AQ47*'Вводные данные'!$E$30*'Вводные данные'!$E$29</f>
        <v>108000</v>
      </c>
      <c r="AR65" s="225">
        <f>AR47*'Вводные данные'!$E$30*'Вводные данные'!$E$29</f>
        <v>108000</v>
      </c>
      <c r="AS65" s="225">
        <f>AS47*'Вводные данные'!$E$30*'Вводные данные'!$E$29</f>
        <v>108000</v>
      </c>
      <c r="AT65" s="225">
        <f>AT47*'Вводные данные'!$E$30*'Вводные данные'!$E$29</f>
        <v>108000</v>
      </c>
      <c r="AU65" s="225">
        <f>AU47*'Вводные данные'!$E$30*'Вводные данные'!$E$29</f>
        <v>108000</v>
      </c>
      <c r="AV65" s="225">
        <f>AV47*'Вводные данные'!$E$30*'Вводные данные'!$E$29</f>
        <v>108000</v>
      </c>
      <c r="AW65" s="225">
        <f>AW47*'Вводные данные'!$E$30*'Вводные данные'!$E$29</f>
        <v>108000</v>
      </c>
      <c r="AX65" s="225">
        <f>AX47*'Вводные данные'!$E$30*'Вводные данные'!$E$29</f>
        <v>108000</v>
      </c>
      <c r="AY65" s="225">
        <f>AY47*'Вводные данные'!$E$30*'Вводные данные'!$E$29</f>
        <v>108000</v>
      </c>
      <c r="AZ65" s="225">
        <f>AZ47*'Вводные данные'!$E$30*'Вводные данные'!$E$29</f>
        <v>108000</v>
      </c>
      <c r="BA65" s="225">
        <f>BA47*'Вводные данные'!$E$30*'Вводные данные'!$E$29</f>
        <v>108000</v>
      </c>
      <c r="BB65" s="225">
        <f>BB47*'Вводные данные'!$E$30*'Вводные данные'!$E$29</f>
        <v>108000</v>
      </c>
      <c r="BC65" s="225">
        <f>BC47*'Вводные данные'!$E$30*'Вводные данные'!$E$29</f>
        <v>108000</v>
      </c>
      <c r="BD65" s="225">
        <f>BD47*'Вводные данные'!$E$30*'Вводные данные'!$E$29</f>
        <v>108000</v>
      </c>
      <c r="BE65" s="225">
        <f>BE47*'Вводные данные'!$E$30*'Вводные данные'!$E$29</f>
        <v>108000</v>
      </c>
      <c r="BF65" s="225">
        <f>BF47*'Вводные данные'!$E$30*'Вводные данные'!$E$29</f>
        <v>108000</v>
      </c>
      <c r="BG65" s="225">
        <f>BG47*'Вводные данные'!$E$30*'Вводные данные'!$E$29</f>
        <v>108000</v>
      </c>
      <c r="BH65" s="225">
        <f>BH47*'Вводные данные'!$E$30*'Вводные данные'!$E$29</f>
        <v>108000</v>
      </c>
      <c r="BI65" s="225">
        <f>BI47*'Вводные данные'!$E$30*'Вводные данные'!$E$29</f>
        <v>108000</v>
      </c>
      <c r="BJ65" s="225">
        <f>BJ47*'Вводные данные'!$E$30*'Вводные данные'!$E$29</f>
        <v>108000</v>
      </c>
      <c r="BK65" s="225">
        <f>BK47*'Вводные данные'!$E$30*'Вводные данные'!$E$29</f>
        <v>108000</v>
      </c>
      <c r="BL65" s="225">
        <f>BL47*'Вводные данные'!$E$30*'Вводные данные'!$E$29</f>
        <v>108000</v>
      </c>
      <c r="BM65" s="225">
        <f>BM47*'Вводные данные'!$E$30*'Вводные данные'!$E$29</f>
        <v>108000</v>
      </c>
      <c r="BO65" s="225">
        <f t="shared" si="57"/>
        <v>6480000</v>
      </c>
    </row>
    <row r="66" spans="1:73" outlineLevel="1" x14ac:dyDescent="0.2">
      <c r="C66" s="201"/>
      <c r="BO66" s="225">
        <f t="shared" si="57"/>
        <v>0</v>
      </c>
    </row>
    <row r="67" spans="1:73" outlineLevel="1" x14ac:dyDescent="0.2">
      <c r="C67" s="201" t="s">
        <v>202</v>
      </c>
      <c r="D67" s="226" t="s">
        <v>7</v>
      </c>
      <c r="F67" s="239">
        <f>'Вводные данные'!$E$35</f>
        <v>0.43</v>
      </c>
      <c r="G67" s="239">
        <f>'Вводные данные'!$E$35</f>
        <v>0.43</v>
      </c>
      <c r="H67" s="239">
        <f>'Вводные данные'!$E$35</f>
        <v>0.43</v>
      </c>
      <c r="I67" s="239">
        <f>'Вводные данные'!$E$35</f>
        <v>0.43</v>
      </c>
      <c r="J67" s="239">
        <f>'Вводные данные'!$E$35</f>
        <v>0.43</v>
      </c>
      <c r="K67" s="239">
        <f>'Вводные данные'!$E$35</f>
        <v>0.43</v>
      </c>
      <c r="L67" s="239">
        <f>'Вводные данные'!$E$35</f>
        <v>0.43</v>
      </c>
      <c r="M67" s="239">
        <f>'Вводные данные'!$E$35</f>
        <v>0.43</v>
      </c>
      <c r="N67" s="239">
        <f>'Вводные данные'!$E$35</f>
        <v>0.43</v>
      </c>
      <c r="O67" s="239">
        <f>'Вводные данные'!$E$35</f>
        <v>0.43</v>
      </c>
      <c r="P67" s="239">
        <f>'Вводные данные'!$E$35</f>
        <v>0.43</v>
      </c>
      <c r="Q67" s="239">
        <f>'Вводные данные'!$E$35</f>
        <v>0.43</v>
      </c>
      <c r="R67" s="239">
        <f>'Вводные данные'!$E$35</f>
        <v>0.43</v>
      </c>
      <c r="S67" s="239">
        <f>'Вводные данные'!$E$35</f>
        <v>0.43</v>
      </c>
      <c r="T67" s="239">
        <f>'Вводные данные'!$E$35</f>
        <v>0.43</v>
      </c>
      <c r="U67" s="239">
        <f>'Вводные данные'!$E$35</f>
        <v>0.43</v>
      </c>
      <c r="V67" s="239">
        <f>'Вводные данные'!$E$35</f>
        <v>0.43</v>
      </c>
      <c r="W67" s="239">
        <f>'Вводные данные'!$E$35</f>
        <v>0.43</v>
      </c>
      <c r="X67" s="239">
        <f>'Вводные данные'!$E$35</f>
        <v>0.43</v>
      </c>
      <c r="Y67" s="239">
        <f>'Вводные данные'!$E$35</f>
        <v>0.43</v>
      </c>
      <c r="Z67" s="239">
        <f>'Вводные данные'!$E$35</f>
        <v>0.43</v>
      </c>
      <c r="AA67" s="239">
        <f>'Вводные данные'!$E$35</f>
        <v>0.43</v>
      </c>
      <c r="AB67" s="239">
        <f>'Вводные данные'!$E$35</f>
        <v>0.43</v>
      </c>
      <c r="AC67" s="239">
        <f>'Вводные данные'!$E$35</f>
        <v>0.43</v>
      </c>
      <c r="AD67" s="239">
        <f>'Вводные данные'!$E$35</f>
        <v>0.43</v>
      </c>
      <c r="AE67" s="239">
        <f>'Вводные данные'!$E$35</f>
        <v>0.43</v>
      </c>
      <c r="AF67" s="239">
        <f>'Вводные данные'!$E$35</f>
        <v>0.43</v>
      </c>
      <c r="AG67" s="239">
        <f>'Вводные данные'!$E$35</f>
        <v>0.43</v>
      </c>
      <c r="AH67" s="239">
        <f>'Вводные данные'!$E$35</f>
        <v>0.43</v>
      </c>
      <c r="AI67" s="239">
        <f>'Вводные данные'!$E$35</f>
        <v>0.43</v>
      </c>
      <c r="AJ67" s="239">
        <f>'Вводные данные'!$E$35</f>
        <v>0.43</v>
      </c>
      <c r="AK67" s="239">
        <f>'Вводные данные'!$E$35</f>
        <v>0.43</v>
      </c>
      <c r="AL67" s="239">
        <f>'Вводные данные'!$E$35</f>
        <v>0.43</v>
      </c>
      <c r="AM67" s="239">
        <f>'Вводные данные'!$E$35</f>
        <v>0.43</v>
      </c>
      <c r="AN67" s="239">
        <f>'Вводные данные'!$E$35</f>
        <v>0.43</v>
      </c>
      <c r="AO67" s="239">
        <f>'Вводные данные'!$E$35</f>
        <v>0.43</v>
      </c>
      <c r="AP67" s="239">
        <f>'Вводные данные'!$E$35</f>
        <v>0.43</v>
      </c>
      <c r="AQ67" s="239">
        <f>'Вводные данные'!$E$35</f>
        <v>0.43</v>
      </c>
      <c r="AR67" s="239">
        <f>'Вводные данные'!$E$35</f>
        <v>0.43</v>
      </c>
      <c r="AS67" s="239">
        <f>'Вводные данные'!$E$35</f>
        <v>0.43</v>
      </c>
      <c r="AT67" s="239">
        <f>'Вводные данные'!$E$35</f>
        <v>0.43</v>
      </c>
      <c r="AU67" s="239">
        <f>'Вводные данные'!$E$35</f>
        <v>0.43</v>
      </c>
      <c r="AV67" s="239">
        <f>'Вводные данные'!$E$35</f>
        <v>0.43</v>
      </c>
      <c r="AW67" s="239">
        <f>'Вводные данные'!$E$35</f>
        <v>0.43</v>
      </c>
      <c r="AX67" s="239">
        <f>'Вводные данные'!$E$35</f>
        <v>0.43</v>
      </c>
      <c r="AY67" s="239">
        <f>'Вводные данные'!$E$35</f>
        <v>0.43</v>
      </c>
      <c r="AZ67" s="239">
        <f>'Вводные данные'!$E$35</f>
        <v>0.43</v>
      </c>
      <c r="BA67" s="239">
        <f>'Вводные данные'!$E$35</f>
        <v>0.43</v>
      </c>
      <c r="BB67" s="239">
        <f>'Вводные данные'!$E$35</f>
        <v>0.43</v>
      </c>
      <c r="BC67" s="239">
        <f>'Вводные данные'!$E$35</f>
        <v>0.43</v>
      </c>
      <c r="BD67" s="239">
        <f>'Вводные данные'!$E$35</f>
        <v>0.43</v>
      </c>
      <c r="BE67" s="239">
        <f>'Вводные данные'!$E$35</f>
        <v>0.43</v>
      </c>
      <c r="BF67" s="239">
        <f>'Вводные данные'!$E$35</f>
        <v>0.43</v>
      </c>
      <c r="BG67" s="239">
        <f>'Вводные данные'!$E$35</f>
        <v>0.43</v>
      </c>
      <c r="BH67" s="239">
        <f>'Вводные данные'!$E$35</f>
        <v>0.43</v>
      </c>
      <c r="BI67" s="239">
        <f>'Вводные данные'!$E$35</f>
        <v>0.43</v>
      </c>
      <c r="BJ67" s="239">
        <f>'Вводные данные'!$E$35</f>
        <v>0.43</v>
      </c>
      <c r="BK67" s="239">
        <f>'Вводные данные'!$E$35</f>
        <v>0.43</v>
      </c>
      <c r="BL67" s="239">
        <f>'Вводные данные'!$E$35</f>
        <v>0.43</v>
      </c>
      <c r="BM67" s="239">
        <f>'Вводные данные'!$E$35</f>
        <v>0.43</v>
      </c>
      <c r="BO67" s="239">
        <f t="shared" si="57"/>
        <v>25.799999999999986</v>
      </c>
    </row>
    <row r="68" spans="1:73" outlineLevel="1" x14ac:dyDescent="0.2">
      <c r="C68" s="201" t="s">
        <v>70</v>
      </c>
      <c r="D68" s="202" t="s">
        <v>71</v>
      </c>
      <c r="F68" s="229">
        <f>'Вводные данные'!$E$34</f>
        <v>60000</v>
      </c>
      <c r="G68" s="229">
        <f>'Вводные данные'!$E$34</f>
        <v>60000</v>
      </c>
      <c r="H68" s="229">
        <f>'Вводные данные'!$E$34</f>
        <v>60000</v>
      </c>
      <c r="I68" s="229">
        <f>'Вводные данные'!$E$34</f>
        <v>60000</v>
      </c>
      <c r="J68" s="229">
        <f>'Вводные данные'!$E$34</f>
        <v>60000</v>
      </c>
      <c r="K68" s="229">
        <f>'Вводные данные'!$E$34</f>
        <v>60000</v>
      </c>
      <c r="L68" s="229">
        <f>'Вводные данные'!$E$34</f>
        <v>60000</v>
      </c>
      <c r="M68" s="229">
        <f>'Вводные данные'!$E$34</f>
        <v>60000</v>
      </c>
      <c r="N68" s="229">
        <f>'Вводные данные'!$E$34</f>
        <v>60000</v>
      </c>
      <c r="O68" s="229">
        <f>'Вводные данные'!$E$34</f>
        <v>60000</v>
      </c>
      <c r="P68" s="229">
        <f>'Вводные данные'!$E$34</f>
        <v>60000</v>
      </c>
      <c r="Q68" s="229">
        <f>'Вводные данные'!$E$34</f>
        <v>60000</v>
      </c>
      <c r="R68" s="229">
        <f>'Вводные данные'!$E$34</f>
        <v>60000</v>
      </c>
      <c r="S68" s="229">
        <f>'Вводные данные'!$E$34</f>
        <v>60000</v>
      </c>
      <c r="T68" s="229">
        <f>'Вводные данные'!$E$34</f>
        <v>60000</v>
      </c>
      <c r="U68" s="229">
        <f>'Вводные данные'!$E$34</f>
        <v>60000</v>
      </c>
      <c r="V68" s="229">
        <f>'Вводные данные'!$E$34</f>
        <v>60000</v>
      </c>
      <c r="W68" s="229">
        <f>'Вводные данные'!$E$34</f>
        <v>60000</v>
      </c>
      <c r="X68" s="229">
        <f>'Вводные данные'!$E$34</f>
        <v>60000</v>
      </c>
      <c r="Y68" s="229">
        <f>'Вводные данные'!$E$34</f>
        <v>60000</v>
      </c>
      <c r="Z68" s="229">
        <f>'Вводные данные'!$E$34</f>
        <v>60000</v>
      </c>
      <c r="AA68" s="229">
        <f>'Вводные данные'!$E$34</f>
        <v>60000</v>
      </c>
      <c r="AB68" s="229">
        <f>'Вводные данные'!$E$34</f>
        <v>60000</v>
      </c>
      <c r="AC68" s="229">
        <f>'Вводные данные'!$E$34</f>
        <v>60000</v>
      </c>
      <c r="AD68" s="229">
        <f>'Вводные данные'!$E$34</f>
        <v>60000</v>
      </c>
      <c r="AE68" s="229">
        <f>'Вводные данные'!$E$34</f>
        <v>60000</v>
      </c>
      <c r="AF68" s="229">
        <f>'Вводные данные'!$E$34</f>
        <v>60000</v>
      </c>
      <c r="AG68" s="229">
        <f>'Вводные данные'!$E$34</f>
        <v>60000</v>
      </c>
      <c r="AH68" s="229">
        <f>'Вводные данные'!$E$34</f>
        <v>60000</v>
      </c>
      <c r="AI68" s="229">
        <f>'Вводные данные'!$E$34</f>
        <v>60000</v>
      </c>
      <c r="AJ68" s="229">
        <f>'Вводные данные'!$E$34</f>
        <v>60000</v>
      </c>
      <c r="AK68" s="229">
        <f>'Вводные данные'!$E$34</f>
        <v>60000</v>
      </c>
      <c r="AL68" s="229">
        <f>'Вводные данные'!$E$34</f>
        <v>60000</v>
      </c>
      <c r="AM68" s="229">
        <f>'Вводные данные'!$E$34</f>
        <v>60000</v>
      </c>
      <c r="AN68" s="229">
        <f>'Вводные данные'!$E$34</f>
        <v>60000</v>
      </c>
      <c r="AO68" s="229">
        <f>'Вводные данные'!$E$34</f>
        <v>60000</v>
      </c>
      <c r="AP68" s="229">
        <f>'Вводные данные'!$E$34</f>
        <v>60000</v>
      </c>
      <c r="AQ68" s="229">
        <f>'Вводные данные'!$E$34</f>
        <v>60000</v>
      </c>
      <c r="AR68" s="229">
        <f>'Вводные данные'!$E$34</f>
        <v>60000</v>
      </c>
      <c r="AS68" s="229">
        <f>'Вводные данные'!$E$34</f>
        <v>60000</v>
      </c>
      <c r="AT68" s="229">
        <f>'Вводные данные'!$E$34</f>
        <v>60000</v>
      </c>
      <c r="AU68" s="229">
        <f>'Вводные данные'!$E$34</f>
        <v>60000</v>
      </c>
      <c r="AV68" s="229">
        <f>'Вводные данные'!$E$34</f>
        <v>60000</v>
      </c>
      <c r="AW68" s="229">
        <f>'Вводные данные'!$E$34</f>
        <v>60000</v>
      </c>
      <c r="AX68" s="229">
        <f>'Вводные данные'!$E$34</f>
        <v>60000</v>
      </c>
      <c r="AY68" s="229">
        <f>'Вводные данные'!$E$34</f>
        <v>60000</v>
      </c>
      <c r="AZ68" s="229">
        <f>'Вводные данные'!$E$34</f>
        <v>60000</v>
      </c>
      <c r="BA68" s="229">
        <f>'Вводные данные'!$E$34</f>
        <v>60000</v>
      </c>
      <c r="BB68" s="229">
        <f>'Вводные данные'!$E$34</f>
        <v>60000</v>
      </c>
      <c r="BC68" s="229">
        <f>'Вводные данные'!$E$34</f>
        <v>60000</v>
      </c>
      <c r="BD68" s="229">
        <f>'Вводные данные'!$E$34</f>
        <v>60000</v>
      </c>
      <c r="BE68" s="229">
        <f>'Вводные данные'!$E$34</f>
        <v>60000</v>
      </c>
      <c r="BF68" s="229">
        <f>'Вводные данные'!$E$34</f>
        <v>60000</v>
      </c>
      <c r="BG68" s="229">
        <f>'Вводные данные'!$E$34</f>
        <v>60000</v>
      </c>
      <c r="BH68" s="229">
        <f>'Вводные данные'!$E$34</f>
        <v>60000</v>
      </c>
      <c r="BI68" s="229">
        <f>'Вводные данные'!$E$34</f>
        <v>60000</v>
      </c>
      <c r="BJ68" s="229">
        <f>'Вводные данные'!$E$34</f>
        <v>60000</v>
      </c>
      <c r="BK68" s="229">
        <f>'Вводные данные'!$E$34</f>
        <v>60000</v>
      </c>
      <c r="BL68" s="229">
        <f>'Вводные данные'!$E$34</f>
        <v>60000</v>
      </c>
      <c r="BM68" s="229">
        <f>'Вводные данные'!$E$34</f>
        <v>60000</v>
      </c>
      <c r="BO68" s="229">
        <f t="shared" si="57"/>
        <v>3600000</v>
      </c>
    </row>
    <row r="69" spans="1:73" x14ac:dyDescent="0.2">
      <c r="C69" s="201"/>
      <c r="D69" s="202"/>
      <c r="F69" s="229"/>
      <c r="G69" s="229"/>
      <c r="H69" s="229"/>
      <c r="I69" s="229"/>
      <c r="J69" s="229"/>
      <c r="K69" s="229"/>
      <c r="L69" s="229"/>
      <c r="M69" s="229"/>
      <c r="N69" s="229"/>
      <c r="O69" s="229"/>
      <c r="P69" s="229"/>
      <c r="Q69" s="229"/>
      <c r="R69" s="229"/>
      <c r="S69" s="229"/>
      <c r="T69" s="229"/>
      <c r="U69" s="229"/>
      <c r="V69" s="229"/>
      <c r="W69" s="229"/>
      <c r="X69" s="229"/>
      <c r="Y69" s="229"/>
      <c r="Z69" s="229"/>
      <c r="AA69" s="229"/>
      <c r="AB69" s="229"/>
      <c r="AC69" s="229"/>
      <c r="AD69" s="229"/>
      <c r="AE69" s="229"/>
      <c r="AF69" s="229"/>
      <c r="AG69" s="229"/>
      <c r="AH69" s="229"/>
      <c r="AI69" s="229"/>
      <c r="AJ69" s="229"/>
      <c r="AK69" s="229"/>
      <c r="AL69" s="229"/>
      <c r="AM69" s="229"/>
      <c r="AN69" s="229"/>
      <c r="AO69" s="229"/>
      <c r="AP69" s="229"/>
      <c r="AQ69" s="229"/>
      <c r="AR69" s="229"/>
      <c r="AS69" s="229"/>
      <c r="AT69" s="229"/>
      <c r="AU69" s="229"/>
      <c r="AV69" s="229"/>
      <c r="AW69" s="229"/>
      <c r="AX69" s="229"/>
      <c r="AY69" s="229"/>
      <c r="AZ69" s="229"/>
      <c r="BA69" s="229"/>
      <c r="BB69" s="229"/>
      <c r="BC69" s="229"/>
      <c r="BD69" s="229"/>
      <c r="BE69" s="229"/>
      <c r="BF69" s="229"/>
      <c r="BG69" s="229"/>
      <c r="BH69" s="229"/>
      <c r="BI69" s="229"/>
      <c r="BJ69" s="229"/>
      <c r="BK69" s="229"/>
      <c r="BL69" s="229"/>
      <c r="BM69" s="229"/>
      <c r="BO69" s="229"/>
    </row>
    <row r="70" spans="1:73" s="1" customFormat="1" x14ac:dyDescent="0.2">
      <c r="A70" s="34"/>
      <c r="B70" s="34"/>
      <c r="C70" s="106" t="s">
        <v>202</v>
      </c>
      <c r="D70" s="35" t="s">
        <v>25</v>
      </c>
      <c r="E70" s="35"/>
      <c r="F70" s="14">
        <f>F68*F67</f>
        <v>25800</v>
      </c>
      <c r="G70" s="14">
        <f t="shared" ref="G70:BM70" si="127">G68*G67</f>
        <v>25800</v>
      </c>
      <c r="H70" s="14">
        <f t="shared" si="127"/>
        <v>25800</v>
      </c>
      <c r="I70" s="14">
        <f t="shared" si="127"/>
        <v>25800</v>
      </c>
      <c r="J70" s="14">
        <f t="shared" si="127"/>
        <v>25800</v>
      </c>
      <c r="K70" s="14">
        <f t="shared" si="127"/>
        <v>25800</v>
      </c>
      <c r="L70" s="14">
        <f t="shared" si="127"/>
        <v>25800</v>
      </c>
      <c r="M70" s="14">
        <f t="shared" si="127"/>
        <v>25800</v>
      </c>
      <c r="N70" s="14">
        <f t="shared" si="127"/>
        <v>25800</v>
      </c>
      <c r="O70" s="14">
        <f t="shared" si="127"/>
        <v>25800</v>
      </c>
      <c r="P70" s="14">
        <f t="shared" si="127"/>
        <v>25800</v>
      </c>
      <c r="Q70" s="14">
        <f t="shared" si="127"/>
        <v>25800</v>
      </c>
      <c r="R70" s="14">
        <f t="shared" si="127"/>
        <v>25800</v>
      </c>
      <c r="S70" s="14">
        <f t="shared" si="127"/>
        <v>25800</v>
      </c>
      <c r="T70" s="14">
        <f t="shared" si="127"/>
        <v>25800</v>
      </c>
      <c r="U70" s="14">
        <f t="shared" si="127"/>
        <v>25800</v>
      </c>
      <c r="V70" s="14">
        <f t="shared" si="127"/>
        <v>25800</v>
      </c>
      <c r="W70" s="14">
        <f t="shared" si="127"/>
        <v>25800</v>
      </c>
      <c r="X70" s="14">
        <f t="shared" si="127"/>
        <v>25800</v>
      </c>
      <c r="Y70" s="14">
        <f t="shared" si="127"/>
        <v>25800</v>
      </c>
      <c r="Z70" s="14">
        <f t="shared" si="127"/>
        <v>25800</v>
      </c>
      <c r="AA70" s="14">
        <f t="shared" si="127"/>
        <v>25800</v>
      </c>
      <c r="AB70" s="14">
        <f t="shared" si="127"/>
        <v>25800</v>
      </c>
      <c r="AC70" s="14">
        <f t="shared" si="127"/>
        <v>25800</v>
      </c>
      <c r="AD70" s="14">
        <f t="shared" si="127"/>
        <v>25800</v>
      </c>
      <c r="AE70" s="14">
        <f t="shared" si="127"/>
        <v>25800</v>
      </c>
      <c r="AF70" s="14">
        <f t="shared" si="127"/>
        <v>25800</v>
      </c>
      <c r="AG70" s="14">
        <f t="shared" si="127"/>
        <v>25800</v>
      </c>
      <c r="AH70" s="14">
        <f t="shared" si="127"/>
        <v>25800</v>
      </c>
      <c r="AI70" s="14">
        <f t="shared" si="127"/>
        <v>25800</v>
      </c>
      <c r="AJ70" s="14">
        <f t="shared" si="127"/>
        <v>25800</v>
      </c>
      <c r="AK70" s="14">
        <f t="shared" si="127"/>
        <v>25800</v>
      </c>
      <c r="AL70" s="14">
        <f t="shared" si="127"/>
        <v>25800</v>
      </c>
      <c r="AM70" s="14">
        <f t="shared" si="127"/>
        <v>25800</v>
      </c>
      <c r="AN70" s="14">
        <f t="shared" si="127"/>
        <v>25800</v>
      </c>
      <c r="AO70" s="14">
        <f t="shared" si="127"/>
        <v>25800</v>
      </c>
      <c r="AP70" s="14">
        <f t="shared" si="127"/>
        <v>25800</v>
      </c>
      <c r="AQ70" s="14">
        <f t="shared" si="127"/>
        <v>25800</v>
      </c>
      <c r="AR70" s="14">
        <f t="shared" si="127"/>
        <v>25800</v>
      </c>
      <c r="AS70" s="14">
        <f t="shared" si="127"/>
        <v>25800</v>
      </c>
      <c r="AT70" s="14">
        <f t="shared" si="127"/>
        <v>25800</v>
      </c>
      <c r="AU70" s="14">
        <f t="shared" si="127"/>
        <v>25800</v>
      </c>
      <c r="AV70" s="14">
        <f t="shared" si="127"/>
        <v>25800</v>
      </c>
      <c r="AW70" s="14">
        <f t="shared" si="127"/>
        <v>25800</v>
      </c>
      <c r="AX70" s="14">
        <f t="shared" si="127"/>
        <v>25800</v>
      </c>
      <c r="AY70" s="14">
        <f t="shared" si="127"/>
        <v>25800</v>
      </c>
      <c r="AZ70" s="14">
        <f t="shared" si="127"/>
        <v>25800</v>
      </c>
      <c r="BA70" s="14">
        <f t="shared" si="127"/>
        <v>25800</v>
      </c>
      <c r="BB70" s="14">
        <f t="shared" si="127"/>
        <v>25800</v>
      </c>
      <c r="BC70" s="14">
        <f t="shared" si="127"/>
        <v>25800</v>
      </c>
      <c r="BD70" s="14">
        <f t="shared" si="127"/>
        <v>25800</v>
      </c>
      <c r="BE70" s="14">
        <f t="shared" si="127"/>
        <v>25800</v>
      </c>
      <c r="BF70" s="14">
        <f t="shared" si="127"/>
        <v>25800</v>
      </c>
      <c r="BG70" s="14">
        <f t="shared" si="127"/>
        <v>25800</v>
      </c>
      <c r="BH70" s="14">
        <f t="shared" si="127"/>
        <v>25800</v>
      </c>
      <c r="BI70" s="14">
        <f t="shared" si="127"/>
        <v>25800</v>
      </c>
      <c r="BJ70" s="14">
        <f t="shared" si="127"/>
        <v>25800</v>
      </c>
      <c r="BK70" s="14">
        <f t="shared" si="127"/>
        <v>25800</v>
      </c>
      <c r="BL70" s="14">
        <f t="shared" si="127"/>
        <v>25800</v>
      </c>
      <c r="BM70" s="14">
        <f t="shared" si="127"/>
        <v>25800</v>
      </c>
      <c r="BN70" s="225"/>
      <c r="BO70" s="14">
        <f t="shared" ref="BO70:BO118" si="128">SUM(F70:BM70)</f>
        <v>1548000</v>
      </c>
      <c r="BP70" s="107">
        <f>SUM(F70:Q70)</f>
        <v>309600</v>
      </c>
      <c r="BQ70" s="107">
        <f>SUM(R70:AC70)</f>
        <v>309600</v>
      </c>
      <c r="BR70" s="107">
        <f>SUM(AD70:AO70)</f>
        <v>309600</v>
      </c>
      <c r="BS70" s="107">
        <f>SUM(AP70:BA70)</f>
        <v>309600</v>
      </c>
      <c r="BT70" s="107">
        <f>SUM(BB70:BM70)</f>
        <v>309600</v>
      </c>
      <c r="BU70" s="107">
        <f>SUM(BP70:BT70)</f>
        <v>1548000</v>
      </c>
    </row>
    <row r="71" spans="1:73" x14ac:dyDescent="0.2">
      <c r="C71" s="201"/>
      <c r="D71" s="202"/>
      <c r="F71" s="229"/>
      <c r="G71" s="229"/>
      <c r="H71" s="229"/>
      <c r="I71" s="229"/>
      <c r="J71" s="229"/>
      <c r="K71" s="229"/>
      <c r="L71" s="229"/>
      <c r="M71" s="229"/>
      <c r="N71" s="229"/>
      <c r="O71" s="229"/>
      <c r="P71" s="229"/>
      <c r="Q71" s="229"/>
      <c r="R71" s="229"/>
      <c r="S71" s="229"/>
      <c r="T71" s="229"/>
      <c r="U71" s="229"/>
      <c r="V71" s="229"/>
      <c r="W71" s="229"/>
      <c r="X71" s="229"/>
      <c r="Y71" s="229"/>
      <c r="Z71" s="229"/>
      <c r="AA71" s="229"/>
      <c r="AB71" s="229"/>
      <c r="AC71" s="229"/>
      <c r="AD71" s="229"/>
      <c r="AE71" s="229"/>
      <c r="AF71" s="229"/>
      <c r="AG71" s="229"/>
      <c r="AH71" s="229"/>
      <c r="AI71" s="229"/>
      <c r="AJ71" s="229"/>
      <c r="AK71" s="229"/>
      <c r="AL71" s="229"/>
      <c r="AM71" s="229"/>
      <c r="AN71" s="229"/>
      <c r="AO71" s="229"/>
      <c r="AP71" s="229"/>
      <c r="AQ71" s="229"/>
      <c r="AR71" s="229"/>
      <c r="AS71" s="229"/>
      <c r="AT71" s="229"/>
      <c r="AU71" s="229"/>
      <c r="AV71" s="229"/>
      <c r="AW71" s="229"/>
      <c r="AX71" s="229"/>
      <c r="AY71" s="229"/>
      <c r="AZ71" s="229"/>
      <c r="BA71" s="229"/>
      <c r="BB71" s="229"/>
      <c r="BC71" s="229"/>
      <c r="BD71" s="229"/>
      <c r="BE71" s="229"/>
      <c r="BF71" s="229"/>
      <c r="BG71" s="229"/>
      <c r="BH71" s="229"/>
      <c r="BI71" s="229"/>
      <c r="BJ71" s="229"/>
      <c r="BK71" s="229"/>
      <c r="BL71" s="229"/>
      <c r="BM71" s="229"/>
      <c r="BO71" s="229">
        <f t="shared" si="128"/>
        <v>0</v>
      </c>
    </row>
    <row r="72" spans="1:73" s="1" customFormat="1" x14ac:dyDescent="0.2">
      <c r="A72" s="34"/>
      <c r="B72" s="34"/>
      <c r="C72" s="106" t="str">
        <f>'Вводные данные'!C32</f>
        <v>Стоимость патента (для услуг аренды оборудования)</v>
      </c>
      <c r="D72" s="35" t="s">
        <v>25</v>
      </c>
      <c r="E72" s="35"/>
      <c r="F72" s="14">
        <f>'Вводные данные'!$E$32/12</f>
        <v>4166.666666666667</v>
      </c>
      <c r="G72" s="14">
        <f>'Вводные данные'!$E$32/12</f>
        <v>4166.666666666667</v>
      </c>
      <c r="H72" s="14">
        <f>'Вводные данные'!$E$32/12</f>
        <v>4166.666666666667</v>
      </c>
      <c r="I72" s="14">
        <f>'Вводные данные'!$E$32/12</f>
        <v>4166.666666666667</v>
      </c>
      <c r="J72" s="14">
        <f>'Вводные данные'!$E$32/12</f>
        <v>4166.666666666667</v>
      </c>
      <c r="K72" s="14">
        <f>'Вводные данные'!$E$32/12</f>
        <v>4166.666666666667</v>
      </c>
      <c r="L72" s="14">
        <f>'Вводные данные'!$E$32/12</f>
        <v>4166.666666666667</v>
      </c>
      <c r="M72" s="14">
        <f>'Вводные данные'!$E$32/12</f>
        <v>4166.666666666667</v>
      </c>
      <c r="N72" s="14">
        <f>'Вводные данные'!$E$32/12</f>
        <v>4166.666666666667</v>
      </c>
      <c r="O72" s="14">
        <f>'Вводные данные'!$E$32/12</f>
        <v>4166.666666666667</v>
      </c>
      <c r="P72" s="14">
        <f>'Вводные данные'!$E$32/12</f>
        <v>4166.666666666667</v>
      </c>
      <c r="Q72" s="14">
        <f>'Вводные данные'!$E$32/12</f>
        <v>4166.666666666667</v>
      </c>
      <c r="R72" s="14">
        <f>'Вводные данные'!$E$32/12</f>
        <v>4166.666666666667</v>
      </c>
      <c r="S72" s="14">
        <f>'Вводные данные'!$E$32/12</f>
        <v>4166.666666666667</v>
      </c>
      <c r="T72" s="14">
        <f>'Вводные данные'!$E$32/12</f>
        <v>4166.666666666667</v>
      </c>
      <c r="U72" s="14">
        <f>'Вводные данные'!$E$32/12</f>
        <v>4166.666666666667</v>
      </c>
      <c r="V72" s="14">
        <f>'Вводные данные'!$E$32/12</f>
        <v>4166.666666666667</v>
      </c>
      <c r="W72" s="14">
        <f>'Вводные данные'!$E$32/12</f>
        <v>4166.666666666667</v>
      </c>
      <c r="X72" s="14">
        <f>'Вводные данные'!$E$32/12</f>
        <v>4166.666666666667</v>
      </c>
      <c r="Y72" s="14">
        <f>'Вводные данные'!$E$32/12</f>
        <v>4166.666666666667</v>
      </c>
      <c r="Z72" s="14">
        <f>'Вводные данные'!$E$32/12</f>
        <v>4166.666666666667</v>
      </c>
      <c r="AA72" s="14">
        <f>'Вводные данные'!$E$32/12</f>
        <v>4166.666666666667</v>
      </c>
      <c r="AB72" s="14">
        <f>'Вводные данные'!$E$32/12</f>
        <v>4166.666666666667</v>
      </c>
      <c r="AC72" s="14">
        <f>'Вводные данные'!$E$32/12</f>
        <v>4166.666666666667</v>
      </c>
      <c r="AD72" s="14">
        <f>'Вводные данные'!$E$32/12</f>
        <v>4166.666666666667</v>
      </c>
      <c r="AE72" s="14">
        <f>'Вводные данные'!$E$32/12</f>
        <v>4166.666666666667</v>
      </c>
      <c r="AF72" s="14">
        <f>'Вводные данные'!$E$32/12</f>
        <v>4166.666666666667</v>
      </c>
      <c r="AG72" s="14">
        <f>'Вводные данные'!$E$32/12</f>
        <v>4166.666666666667</v>
      </c>
      <c r="AH72" s="14">
        <f>'Вводные данные'!$E$32/12</f>
        <v>4166.666666666667</v>
      </c>
      <c r="AI72" s="14">
        <f>'Вводные данные'!$E$32/12</f>
        <v>4166.666666666667</v>
      </c>
      <c r="AJ72" s="14">
        <f>'Вводные данные'!$E$32/12</f>
        <v>4166.666666666667</v>
      </c>
      <c r="AK72" s="14">
        <f>'Вводные данные'!$E$32/12</f>
        <v>4166.666666666667</v>
      </c>
      <c r="AL72" s="14">
        <f>'Вводные данные'!$E$32/12</f>
        <v>4166.666666666667</v>
      </c>
      <c r="AM72" s="14">
        <f>'Вводные данные'!$E$32/12</f>
        <v>4166.666666666667</v>
      </c>
      <c r="AN72" s="14">
        <f>'Вводные данные'!$E$32/12</f>
        <v>4166.666666666667</v>
      </c>
      <c r="AO72" s="14">
        <f>'Вводные данные'!$E$32/12</f>
        <v>4166.666666666667</v>
      </c>
      <c r="AP72" s="14">
        <f>'Вводные данные'!$E$32/12</f>
        <v>4166.666666666667</v>
      </c>
      <c r="AQ72" s="14">
        <f>'Вводные данные'!$E$32/12</f>
        <v>4166.666666666667</v>
      </c>
      <c r="AR72" s="14">
        <f>'Вводные данные'!$E$32/12</f>
        <v>4166.666666666667</v>
      </c>
      <c r="AS72" s="14">
        <f>'Вводные данные'!$E$32/12</f>
        <v>4166.666666666667</v>
      </c>
      <c r="AT72" s="14">
        <f>'Вводные данные'!$E$32/12</f>
        <v>4166.666666666667</v>
      </c>
      <c r="AU72" s="14">
        <f>'Вводные данные'!$E$32/12</f>
        <v>4166.666666666667</v>
      </c>
      <c r="AV72" s="14">
        <f>'Вводные данные'!$E$32/12</f>
        <v>4166.666666666667</v>
      </c>
      <c r="AW72" s="14">
        <f>'Вводные данные'!$E$32/12</f>
        <v>4166.666666666667</v>
      </c>
      <c r="AX72" s="14">
        <f>'Вводные данные'!$E$32/12</f>
        <v>4166.666666666667</v>
      </c>
      <c r="AY72" s="14">
        <f>'Вводные данные'!$E$32/12</f>
        <v>4166.666666666667</v>
      </c>
      <c r="AZ72" s="14">
        <f>'Вводные данные'!$E$32/12</f>
        <v>4166.666666666667</v>
      </c>
      <c r="BA72" s="14">
        <f>'Вводные данные'!$E$32/12</f>
        <v>4166.666666666667</v>
      </c>
      <c r="BB72" s="14">
        <f>'Вводные данные'!$E$32/12</f>
        <v>4166.666666666667</v>
      </c>
      <c r="BC72" s="14">
        <f>'Вводные данные'!$E$32/12</f>
        <v>4166.666666666667</v>
      </c>
      <c r="BD72" s="14">
        <f>'Вводные данные'!$E$32/12</f>
        <v>4166.666666666667</v>
      </c>
      <c r="BE72" s="14">
        <f>'Вводные данные'!$E$32/12</f>
        <v>4166.666666666667</v>
      </c>
      <c r="BF72" s="14">
        <f>'Вводные данные'!$E$32/12</f>
        <v>4166.666666666667</v>
      </c>
      <c r="BG72" s="14">
        <f>'Вводные данные'!$E$32/12</f>
        <v>4166.666666666667</v>
      </c>
      <c r="BH72" s="14">
        <f>'Вводные данные'!$E$32/12</f>
        <v>4166.666666666667</v>
      </c>
      <c r="BI72" s="14">
        <f>'Вводные данные'!$E$32/12</f>
        <v>4166.666666666667</v>
      </c>
      <c r="BJ72" s="14">
        <f>'Вводные данные'!$E$32/12</f>
        <v>4166.666666666667</v>
      </c>
      <c r="BK72" s="14">
        <f>'Вводные данные'!$E$32/12</f>
        <v>4166.666666666667</v>
      </c>
      <c r="BL72" s="14">
        <f>'Вводные данные'!$E$32/12</f>
        <v>4166.666666666667</v>
      </c>
      <c r="BM72" s="14">
        <f>'Вводные данные'!$E$32/12</f>
        <v>4166.666666666667</v>
      </c>
      <c r="BN72" s="225"/>
      <c r="BO72" s="14">
        <f t="shared" si="128"/>
        <v>249999.9999999998</v>
      </c>
      <c r="BP72" s="107">
        <f>SUM(F72:Q72)</f>
        <v>49999.999999999993</v>
      </c>
      <c r="BQ72" s="107">
        <f>SUM(R72:AC72)</f>
        <v>49999.999999999993</v>
      </c>
      <c r="BR72" s="107">
        <f>SUM(AD72:AO72)</f>
        <v>49999.999999999993</v>
      </c>
      <c r="BS72" s="107">
        <f>SUM(AP72:BA72)</f>
        <v>49999.999999999993</v>
      </c>
      <c r="BT72" s="107">
        <f>SUM(BB72:BM72)</f>
        <v>49999.999999999993</v>
      </c>
      <c r="BU72" s="107">
        <f>SUM(BP72:BT72)</f>
        <v>249999.99999999997</v>
      </c>
    </row>
    <row r="73" spans="1:73" x14ac:dyDescent="0.2">
      <c r="C73" s="4"/>
      <c r="BO73" s="225">
        <f t="shared" si="128"/>
        <v>0</v>
      </c>
    </row>
    <row r="74" spans="1:73" s="1" customFormat="1" x14ac:dyDescent="0.2">
      <c r="A74" s="34"/>
      <c r="B74" s="34"/>
      <c r="C74" s="106" t="s">
        <v>273</v>
      </c>
      <c r="D74" s="35" t="s">
        <v>25</v>
      </c>
      <c r="E74" s="35"/>
      <c r="F74" s="14">
        <f>F75*F42*(1+F76)</f>
        <v>83983.11</v>
      </c>
      <c r="G74" s="14">
        <f t="shared" ref="G74:AK74" si="129">G75*G42*(1+G76)</f>
        <v>66671.488000000012</v>
      </c>
      <c r="H74" s="14">
        <f t="shared" si="129"/>
        <v>54147.965199999999</v>
      </c>
      <c r="I74" s="14">
        <f t="shared" si="129"/>
        <v>23206.270799999998</v>
      </c>
      <c r="J74" s="14">
        <f t="shared" si="129"/>
        <v>23206.270799999998</v>
      </c>
      <c r="K74" s="14">
        <f t="shared" si="129"/>
        <v>23206.270799999998</v>
      </c>
      <c r="L74" s="14">
        <f>L75*L42*(1+L76)</f>
        <v>23206.270799999998</v>
      </c>
      <c r="M74" s="14">
        <f t="shared" si="129"/>
        <v>23206.270799999998</v>
      </c>
      <c r="N74" s="14">
        <f t="shared" si="129"/>
        <v>23206.270799999998</v>
      </c>
      <c r="O74" s="14">
        <f t="shared" si="129"/>
        <v>23206.270799999998</v>
      </c>
      <c r="P74" s="14">
        <f t="shared" si="129"/>
        <v>23206.270799999998</v>
      </c>
      <c r="Q74" s="14">
        <f t="shared" si="129"/>
        <v>23206.270799999998</v>
      </c>
      <c r="R74" s="14">
        <f t="shared" si="129"/>
        <v>27603.488913999998</v>
      </c>
      <c r="S74" s="14">
        <f t="shared" si="129"/>
        <v>27764.509265998331</v>
      </c>
      <c r="T74" s="14">
        <f t="shared" si="129"/>
        <v>27926.468903383327</v>
      </c>
      <c r="U74" s="14">
        <f t="shared" si="129"/>
        <v>28089.373305319732</v>
      </c>
      <c r="V74" s="14">
        <f t="shared" si="129"/>
        <v>28253.227982934099</v>
      </c>
      <c r="W74" s="14">
        <f t="shared" si="129"/>
        <v>28418.038479501211</v>
      </c>
      <c r="X74" s="14">
        <f t="shared" si="129"/>
        <v>28583.810370631632</v>
      </c>
      <c r="Y74" s="14">
        <f t="shared" si="129"/>
        <v>28750.549264460322</v>
      </c>
      <c r="Z74" s="14">
        <f t="shared" si="129"/>
        <v>28918.260801836339</v>
      </c>
      <c r="AA74" s="14">
        <f t="shared" si="129"/>
        <v>29086.95065651372</v>
      </c>
      <c r="AB74" s="14">
        <f t="shared" si="129"/>
        <v>29256.624535343388</v>
      </c>
      <c r="AC74" s="14">
        <f t="shared" si="129"/>
        <v>29427.288178466224</v>
      </c>
      <c r="AD74" s="14">
        <f t="shared" si="129"/>
        <v>29598.947359507278</v>
      </c>
      <c r="AE74" s="14">
        <f t="shared" si="129"/>
        <v>29771.607885771067</v>
      </c>
      <c r="AF74" s="14">
        <f t="shared" si="129"/>
        <v>29945.275598438071</v>
      </c>
      <c r="AG74" s="14">
        <f t="shared" si="129"/>
        <v>30119.956372762295</v>
      </c>
      <c r="AH74" s="14">
        <f t="shared" si="129"/>
        <v>30295.656118270083</v>
      </c>
      <c r="AI74" s="14">
        <f t="shared" si="129"/>
        <v>30472.380778959985</v>
      </c>
      <c r="AJ74" s="14">
        <f t="shared" si="129"/>
        <v>30650.136333503928</v>
      </c>
      <c r="AK74" s="14">
        <f t="shared" si="129"/>
        <v>30828.928795449359</v>
      </c>
      <c r="AL74" s="14">
        <f t="shared" ref="AL74:BM74" si="130">AL75*AL42*(1+AL76)</f>
        <v>31008.764213422812</v>
      </c>
      <c r="AM74" s="14">
        <f t="shared" si="130"/>
        <v>31189.648671334446</v>
      </c>
      <c r="AN74" s="14">
        <f t="shared" si="130"/>
        <v>31371.588288583902</v>
      </c>
      <c r="AO74" s="14">
        <f t="shared" si="130"/>
        <v>31554.589220267309</v>
      </c>
      <c r="AP74" s="14">
        <f t="shared" si="130"/>
        <v>35594.314056822834</v>
      </c>
      <c r="AQ74" s="14">
        <f t="shared" si="130"/>
        <v>35801.947555487641</v>
      </c>
      <c r="AR74" s="14">
        <f t="shared" si="130"/>
        <v>36010.792249561317</v>
      </c>
      <c r="AS74" s="14">
        <f t="shared" si="130"/>
        <v>36220.855204350424</v>
      </c>
      <c r="AT74" s="14">
        <f t="shared" si="130"/>
        <v>36432.14352637581</v>
      </c>
      <c r="AU74" s="14">
        <f t="shared" si="130"/>
        <v>36644.664363612988</v>
      </c>
      <c r="AV74" s="14">
        <f t="shared" si="130"/>
        <v>36858.424905734078</v>
      </c>
      <c r="AW74" s="14">
        <f t="shared" si="130"/>
        <v>37073.432384350861</v>
      </c>
      <c r="AX74" s="14">
        <f t="shared" si="130"/>
        <v>37289.694073259576</v>
      </c>
      <c r="AY74" s="14">
        <f t="shared" si="130"/>
        <v>37507.217288686923</v>
      </c>
      <c r="AZ74" s="14">
        <f t="shared" si="130"/>
        <v>37726.009389537598</v>
      </c>
      <c r="BA74" s="14">
        <f t="shared" si="130"/>
        <v>37946.077777643244</v>
      </c>
      <c r="BB74" s="14">
        <f t="shared" si="130"/>
        <v>42301.812010319307</v>
      </c>
      <c r="BC74" s="14">
        <f t="shared" si="130"/>
        <v>42548.572580379499</v>
      </c>
      <c r="BD74" s="14">
        <f t="shared" si="130"/>
        <v>42796.772587098385</v>
      </c>
      <c r="BE74" s="14">
        <f t="shared" si="130"/>
        <v>43046.420427189791</v>
      </c>
      <c r="BF74" s="14">
        <f t="shared" si="130"/>
        <v>43297.524546348395</v>
      </c>
      <c r="BG74" s="14">
        <f t="shared" si="130"/>
        <v>43550.093439535427</v>
      </c>
      <c r="BH74" s="14">
        <f t="shared" si="130"/>
        <v>43804.135651266064</v>
      </c>
      <c r="BI74" s="14">
        <f t="shared" si="130"/>
        <v>44059.659775898443</v>
      </c>
      <c r="BJ74" s="14">
        <f t="shared" si="130"/>
        <v>44316.674457924521</v>
      </c>
      <c r="BK74" s="14">
        <f t="shared" si="130"/>
        <v>44575.188392262411</v>
      </c>
      <c r="BL74" s="14">
        <f t="shared" si="130"/>
        <v>44835.210324550608</v>
      </c>
      <c r="BM74" s="14">
        <f t="shared" si="130"/>
        <v>45096.749051443818</v>
      </c>
      <c r="BN74" s="225"/>
      <c r="BO74" s="14">
        <f t="shared" si="128"/>
        <v>2087879.4567142981</v>
      </c>
      <c r="BP74" s="107">
        <f>SUM(F74:Q74)</f>
        <v>413659.00040000002</v>
      </c>
      <c r="BQ74" s="107">
        <f>SUM(R74:AC74)</f>
        <v>342078.59065838833</v>
      </c>
      <c r="BR74" s="107">
        <f>SUM(AD74:AO74)</f>
        <v>366807.47963627055</v>
      </c>
      <c r="BS74" s="107">
        <f>SUM(AP74:BA74)</f>
        <v>441105.57277542329</v>
      </c>
      <c r="BT74" s="107">
        <f>SUM(BB74:BM74)</f>
        <v>524228.81324421667</v>
      </c>
      <c r="BU74" s="107">
        <f>SUM(BP74:BT74)</f>
        <v>2087879.4567142988</v>
      </c>
    </row>
    <row r="75" spans="1:73" outlineLevel="1" x14ac:dyDescent="0.2">
      <c r="C75" s="201" t="s">
        <v>33</v>
      </c>
      <c r="D75" s="202" t="s">
        <v>47</v>
      </c>
      <c r="F75" s="239">
        <v>0.15</v>
      </c>
      <c r="G75" s="239">
        <v>0.1</v>
      </c>
      <c r="H75" s="239">
        <v>7.0000000000000007E-2</v>
      </c>
      <c r="I75" s="239">
        <f>'Вводные данные'!E41</f>
        <v>0.03</v>
      </c>
      <c r="J75" s="239">
        <f>'Вводные данные'!$E$41</f>
        <v>0.03</v>
      </c>
      <c r="K75" s="239">
        <f>'Вводные данные'!$E$41</f>
        <v>0.03</v>
      </c>
      <c r="L75" s="239">
        <f>'Вводные данные'!$E$41</f>
        <v>0.03</v>
      </c>
      <c r="M75" s="239">
        <f>'Вводные данные'!$E$41</f>
        <v>0.03</v>
      </c>
      <c r="N75" s="239">
        <f>'Вводные данные'!$E$41</f>
        <v>0.03</v>
      </c>
      <c r="O75" s="239">
        <f>'Вводные данные'!$E$41</f>
        <v>0.03</v>
      </c>
      <c r="P75" s="239">
        <f>'Вводные данные'!$E$41</f>
        <v>0.03</v>
      </c>
      <c r="Q75" s="239">
        <f>'Вводные данные'!$E$41</f>
        <v>0.03</v>
      </c>
      <c r="R75" s="239">
        <f>'Вводные данные'!$E$41</f>
        <v>0.03</v>
      </c>
      <c r="S75" s="239">
        <f>'Вводные данные'!$E$41</f>
        <v>0.03</v>
      </c>
      <c r="T75" s="239">
        <f>'Вводные данные'!$E$41</f>
        <v>0.03</v>
      </c>
      <c r="U75" s="239">
        <f>'Вводные данные'!$E$41</f>
        <v>0.03</v>
      </c>
      <c r="V75" s="239">
        <f>'Вводные данные'!$E$41</f>
        <v>0.03</v>
      </c>
      <c r="W75" s="239">
        <f>'Вводные данные'!$E$41</f>
        <v>0.03</v>
      </c>
      <c r="X75" s="239">
        <f>'Вводные данные'!$E$41</f>
        <v>0.03</v>
      </c>
      <c r="Y75" s="239">
        <f>'Вводные данные'!$E$41</f>
        <v>0.03</v>
      </c>
      <c r="Z75" s="239">
        <f>'Вводные данные'!$E$41</f>
        <v>0.03</v>
      </c>
      <c r="AA75" s="239">
        <f>'Вводные данные'!$E$41</f>
        <v>0.03</v>
      </c>
      <c r="AB75" s="239">
        <f>'Вводные данные'!$E$41</f>
        <v>0.03</v>
      </c>
      <c r="AC75" s="239">
        <f>'Вводные данные'!$E$41</f>
        <v>0.03</v>
      </c>
      <c r="AD75" s="239">
        <f>'Вводные данные'!$E$41</f>
        <v>0.03</v>
      </c>
      <c r="AE75" s="239">
        <f>'Вводные данные'!$E$41</f>
        <v>0.03</v>
      </c>
      <c r="AF75" s="239">
        <f>'Вводные данные'!$E$41</f>
        <v>0.03</v>
      </c>
      <c r="AG75" s="239">
        <f>'Вводные данные'!$E$41</f>
        <v>0.03</v>
      </c>
      <c r="AH75" s="239">
        <f>'Вводные данные'!$E$41</f>
        <v>0.03</v>
      </c>
      <c r="AI75" s="239">
        <f>'Вводные данные'!$E$41</f>
        <v>0.03</v>
      </c>
      <c r="AJ75" s="239">
        <f>'Вводные данные'!$E$41</f>
        <v>0.03</v>
      </c>
      <c r="AK75" s="239">
        <f>'Вводные данные'!$E$41</f>
        <v>0.03</v>
      </c>
      <c r="AL75" s="239">
        <f>'Вводные данные'!$E$41</f>
        <v>0.03</v>
      </c>
      <c r="AM75" s="239">
        <f>'Вводные данные'!$E$41</f>
        <v>0.03</v>
      </c>
      <c r="AN75" s="239">
        <f>'Вводные данные'!$E$41</f>
        <v>0.03</v>
      </c>
      <c r="AO75" s="239">
        <f>'Вводные данные'!$E$41</f>
        <v>0.03</v>
      </c>
      <c r="AP75" s="239">
        <f>'Вводные данные'!$E$41</f>
        <v>0.03</v>
      </c>
      <c r="AQ75" s="239">
        <f>'Вводные данные'!$E$41</f>
        <v>0.03</v>
      </c>
      <c r="AR75" s="239">
        <f>'Вводные данные'!$E$41</f>
        <v>0.03</v>
      </c>
      <c r="AS75" s="239">
        <f>'Вводные данные'!$E$41</f>
        <v>0.03</v>
      </c>
      <c r="AT75" s="239">
        <f>'Вводные данные'!$E$41</f>
        <v>0.03</v>
      </c>
      <c r="AU75" s="239">
        <f>'Вводные данные'!$E$41</f>
        <v>0.03</v>
      </c>
      <c r="AV75" s="239">
        <f>'Вводные данные'!$E$41</f>
        <v>0.03</v>
      </c>
      <c r="AW75" s="239">
        <f>'Вводные данные'!$E$41</f>
        <v>0.03</v>
      </c>
      <c r="AX75" s="239">
        <f>'Вводные данные'!$E$41</f>
        <v>0.03</v>
      </c>
      <c r="AY75" s="239">
        <f>'Вводные данные'!$E$41</f>
        <v>0.03</v>
      </c>
      <c r="AZ75" s="239">
        <f>'Вводные данные'!$E$41</f>
        <v>0.03</v>
      </c>
      <c r="BA75" s="239">
        <f>'Вводные данные'!$E$41</f>
        <v>0.03</v>
      </c>
      <c r="BB75" s="239">
        <f>'Вводные данные'!$E$41</f>
        <v>0.03</v>
      </c>
      <c r="BC75" s="239">
        <f>'Вводные данные'!$E$41</f>
        <v>0.03</v>
      </c>
      <c r="BD75" s="239">
        <f>'Вводные данные'!$E$41</f>
        <v>0.03</v>
      </c>
      <c r="BE75" s="239">
        <f>'Вводные данные'!$E$41</f>
        <v>0.03</v>
      </c>
      <c r="BF75" s="239">
        <f>'Вводные данные'!$E$41</f>
        <v>0.03</v>
      </c>
      <c r="BG75" s="239">
        <f>'Вводные данные'!$E$41</f>
        <v>0.03</v>
      </c>
      <c r="BH75" s="239">
        <f>'Вводные данные'!$E$41</f>
        <v>0.03</v>
      </c>
      <c r="BI75" s="239">
        <f>'Вводные данные'!$E$41</f>
        <v>0.03</v>
      </c>
      <c r="BJ75" s="239">
        <f>'Вводные данные'!$E$41</f>
        <v>0.03</v>
      </c>
      <c r="BK75" s="239">
        <f>'Вводные данные'!$E$41</f>
        <v>0.03</v>
      </c>
      <c r="BL75" s="239">
        <f>'Вводные данные'!$E$41</f>
        <v>0.03</v>
      </c>
      <c r="BM75" s="239">
        <f>'Вводные данные'!$E$41</f>
        <v>0.03</v>
      </c>
      <c r="BO75" s="239">
        <f t="shared" si="128"/>
        <v>2.0300000000000011</v>
      </c>
    </row>
    <row r="76" spans="1:73" outlineLevel="1" x14ac:dyDescent="0.2">
      <c r="C76" s="201" t="s">
        <v>99</v>
      </c>
      <c r="D76" s="202"/>
      <c r="F76" s="245">
        <v>0.03</v>
      </c>
      <c r="G76" s="245">
        <v>0.03</v>
      </c>
      <c r="H76" s="245">
        <v>0.03</v>
      </c>
      <c r="I76" s="245">
        <v>0.03</v>
      </c>
      <c r="J76" s="245">
        <v>0.03</v>
      </c>
      <c r="K76" s="245">
        <v>0.03</v>
      </c>
      <c r="L76" s="245">
        <v>0.03</v>
      </c>
      <c r="M76" s="245">
        <v>0.03</v>
      </c>
      <c r="N76" s="245">
        <v>0.03</v>
      </c>
      <c r="O76" s="245">
        <v>0.03</v>
      </c>
      <c r="P76" s="245">
        <v>0.03</v>
      </c>
      <c r="Q76" s="245">
        <v>0.03</v>
      </c>
      <c r="R76" s="245">
        <v>0.03</v>
      </c>
      <c r="S76" s="245">
        <v>0.03</v>
      </c>
      <c r="T76" s="245">
        <v>0.03</v>
      </c>
      <c r="U76" s="245">
        <v>0.03</v>
      </c>
      <c r="V76" s="245">
        <v>0.03</v>
      </c>
      <c r="W76" s="245">
        <v>0.03</v>
      </c>
      <c r="X76" s="245">
        <v>0.03</v>
      </c>
      <c r="Y76" s="245">
        <v>0.03</v>
      </c>
      <c r="Z76" s="245">
        <v>0.03</v>
      </c>
      <c r="AA76" s="245">
        <v>0.03</v>
      </c>
      <c r="AB76" s="245">
        <v>0.03</v>
      </c>
      <c r="AC76" s="245">
        <v>0.03</v>
      </c>
      <c r="AD76" s="245">
        <v>0.03</v>
      </c>
      <c r="AE76" s="245">
        <v>0.03</v>
      </c>
      <c r="AF76" s="245">
        <v>0.03</v>
      </c>
      <c r="AG76" s="245">
        <v>0.03</v>
      </c>
      <c r="AH76" s="245">
        <v>0.03</v>
      </c>
      <c r="AI76" s="245">
        <v>0.03</v>
      </c>
      <c r="AJ76" s="245">
        <v>0.03</v>
      </c>
      <c r="AK76" s="245">
        <v>0.03</v>
      </c>
      <c r="AL76" s="245">
        <v>0.03</v>
      </c>
      <c r="AM76" s="245">
        <v>0.03</v>
      </c>
      <c r="AN76" s="245">
        <v>0.03</v>
      </c>
      <c r="AO76" s="245">
        <v>0.03</v>
      </c>
      <c r="AP76" s="245">
        <v>0.03</v>
      </c>
      <c r="AQ76" s="245">
        <v>0.03</v>
      </c>
      <c r="AR76" s="245">
        <v>0.03</v>
      </c>
      <c r="AS76" s="245">
        <v>0.03</v>
      </c>
      <c r="AT76" s="245">
        <v>0.03</v>
      </c>
      <c r="AU76" s="245">
        <v>0.03</v>
      </c>
      <c r="AV76" s="245">
        <v>0.03</v>
      </c>
      <c r="AW76" s="245">
        <v>0.03</v>
      </c>
      <c r="AX76" s="245">
        <v>0.03</v>
      </c>
      <c r="AY76" s="245">
        <v>0.03</v>
      </c>
      <c r="AZ76" s="245">
        <v>0.03</v>
      </c>
      <c r="BA76" s="245">
        <v>0.03</v>
      </c>
      <c r="BB76" s="245">
        <v>0.03</v>
      </c>
      <c r="BC76" s="245">
        <v>0.03</v>
      </c>
      <c r="BD76" s="245">
        <v>0.03</v>
      </c>
      <c r="BE76" s="245">
        <v>0.03</v>
      </c>
      <c r="BF76" s="245">
        <v>0.03</v>
      </c>
      <c r="BG76" s="245">
        <v>0.03</v>
      </c>
      <c r="BH76" s="245">
        <v>0.03</v>
      </c>
      <c r="BI76" s="245">
        <v>0.03</v>
      </c>
      <c r="BJ76" s="245">
        <v>0.03</v>
      </c>
      <c r="BK76" s="245">
        <v>0.03</v>
      </c>
      <c r="BL76" s="245">
        <v>0.03</v>
      </c>
      <c r="BM76" s="245">
        <v>0.03</v>
      </c>
      <c r="BO76" s="245">
        <f t="shared" si="128"/>
        <v>1.8000000000000014</v>
      </c>
    </row>
    <row r="77" spans="1:73" outlineLevel="1" x14ac:dyDescent="0.2">
      <c r="C77" s="201"/>
      <c r="D77" s="202"/>
      <c r="BO77" s="225">
        <f t="shared" si="128"/>
        <v>0</v>
      </c>
    </row>
    <row r="78" spans="1:73" s="1" customFormat="1" x14ac:dyDescent="0.2">
      <c r="A78" s="34"/>
      <c r="B78" s="34"/>
      <c r="C78" s="106" t="s">
        <v>16</v>
      </c>
      <c r="D78" s="35" t="s">
        <v>25</v>
      </c>
      <c r="E78" s="35"/>
      <c r="F78" s="14">
        <f>IF((F79*F33-F80)&gt;0,F79*F33-F80,0)</f>
        <v>0</v>
      </c>
      <c r="G78" s="14">
        <f t="shared" ref="G78:BM78" si="131">IF((G79*G33-G80)&gt;0,G79*G33-G80,0)</f>
        <v>0</v>
      </c>
      <c r="H78" s="14">
        <f t="shared" si="131"/>
        <v>0</v>
      </c>
      <c r="I78" s="14">
        <f t="shared" si="131"/>
        <v>0</v>
      </c>
      <c r="J78" s="14">
        <f t="shared" si="131"/>
        <v>0</v>
      </c>
      <c r="K78" s="14">
        <f t="shared" si="131"/>
        <v>0</v>
      </c>
      <c r="L78" s="14">
        <f t="shared" si="131"/>
        <v>0</v>
      </c>
      <c r="M78" s="14">
        <f t="shared" si="131"/>
        <v>0</v>
      </c>
      <c r="N78" s="14">
        <f t="shared" si="131"/>
        <v>0</v>
      </c>
      <c r="O78" s="14">
        <f t="shared" si="131"/>
        <v>0</v>
      </c>
      <c r="P78" s="14">
        <f t="shared" si="131"/>
        <v>0</v>
      </c>
      <c r="Q78" s="14">
        <f t="shared" si="131"/>
        <v>0</v>
      </c>
      <c r="R78" s="14">
        <f t="shared" si="131"/>
        <v>0</v>
      </c>
      <c r="S78" s="14">
        <f t="shared" si="131"/>
        <v>0</v>
      </c>
      <c r="T78" s="14">
        <f t="shared" si="131"/>
        <v>0</v>
      </c>
      <c r="U78" s="14">
        <f t="shared" si="131"/>
        <v>0</v>
      </c>
      <c r="V78" s="14">
        <f t="shared" si="131"/>
        <v>0</v>
      </c>
      <c r="W78" s="14">
        <f t="shared" si="131"/>
        <v>0</v>
      </c>
      <c r="X78" s="14">
        <f t="shared" si="131"/>
        <v>0</v>
      </c>
      <c r="Y78" s="14">
        <f t="shared" si="131"/>
        <v>0</v>
      </c>
      <c r="Z78" s="14">
        <f t="shared" si="131"/>
        <v>0</v>
      </c>
      <c r="AA78" s="14">
        <f t="shared" si="131"/>
        <v>0</v>
      </c>
      <c r="AB78" s="14">
        <f t="shared" si="131"/>
        <v>0</v>
      </c>
      <c r="AC78" s="14">
        <f t="shared" si="131"/>
        <v>0</v>
      </c>
      <c r="AD78" s="14">
        <f t="shared" si="131"/>
        <v>0</v>
      </c>
      <c r="AE78" s="14">
        <f t="shared" si="131"/>
        <v>0</v>
      </c>
      <c r="AF78" s="14">
        <f t="shared" si="131"/>
        <v>0</v>
      </c>
      <c r="AG78" s="14">
        <f t="shared" si="131"/>
        <v>0</v>
      </c>
      <c r="AH78" s="14">
        <f t="shared" si="131"/>
        <v>0</v>
      </c>
      <c r="AI78" s="14">
        <f t="shared" si="131"/>
        <v>0</v>
      </c>
      <c r="AJ78" s="14">
        <f t="shared" si="131"/>
        <v>0</v>
      </c>
      <c r="AK78" s="14">
        <f t="shared" si="131"/>
        <v>0</v>
      </c>
      <c r="AL78" s="14">
        <f t="shared" si="131"/>
        <v>0</v>
      </c>
      <c r="AM78" s="14">
        <f t="shared" si="131"/>
        <v>0</v>
      </c>
      <c r="AN78" s="14">
        <f t="shared" si="131"/>
        <v>0</v>
      </c>
      <c r="AO78" s="14">
        <f t="shared" si="131"/>
        <v>0</v>
      </c>
      <c r="AP78" s="14">
        <f t="shared" si="131"/>
        <v>0</v>
      </c>
      <c r="AQ78" s="14">
        <f t="shared" si="131"/>
        <v>0</v>
      </c>
      <c r="AR78" s="14">
        <f t="shared" si="131"/>
        <v>0</v>
      </c>
      <c r="AS78" s="14">
        <f t="shared" si="131"/>
        <v>0</v>
      </c>
      <c r="AT78" s="14">
        <f t="shared" si="131"/>
        <v>0</v>
      </c>
      <c r="AU78" s="14">
        <f t="shared" si="131"/>
        <v>0</v>
      </c>
      <c r="AV78" s="14">
        <f t="shared" si="131"/>
        <v>0</v>
      </c>
      <c r="AW78" s="14">
        <f t="shared" si="131"/>
        <v>0</v>
      </c>
      <c r="AX78" s="14">
        <f t="shared" si="131"/>
        <v>0</v>
      </c>
      <c r="AY78" s="14">
        <f t="shared" si="131"/>
        <v>0</v>
      </c>
      <c r="AZ78" s="14">
        <f t="shared" si="131"/>
        <v>0</v>
      </c>
      <c r="BA78" s="14">
        <f t="shared" si="131"/>
        <v>0</v>
      </c>
      <c r="BB78" s="14">
        <f t="shared" si="131"/>
        <v>0</v>
      </c>
      <c r="BC78" s="14">
        <f t="shared" si="131"/>
        <v>0</v>
      </c>
      <c r="BD78" s="14">
        <f t="shared" si="131"/>
        <v>0</v>
      </c>
      <c r="BE78" s="14">
        <f t="shared" si="131"/>
        <v>0</v>
      </c>
      <c r="BF78" s="14">
        <f t="shared" si="131"/>
        <v>0</v>
      </c>
      <c r="BG78" s="14">
        <f t="shared" si="131"/>
        <v>0</v>
      </c>
      <c r="BH78" s="14">
        <f t="shared" si="131"/>
        <v>0</v>
      </c>
      <c r="BI78" s="14">
        <f t="shared" si="131"/>
        <v>0</v>
      </c>
      <c r="BJ78" s="14">
        <f t="shared" si="131"/>
        <v>0</v>
      </c>
      <c r="BK78" s="14">
        <f t="shared" si="131"/>
        <v>0</v>
      </c>
      <c r="BL78" s="14">
        <f t="shared" si="131"/>
        <v>0</v>
      </c>
      <c r="BM78" s="14">
        <f t="shared" si="131"/>
        <v>0</v>
      </c>
      <c r="BN78" s="225"/>
      <c r="BO78" s="14">
        <f t="shared" si="128"/>
        <v>0</v>
      </c>
      <c r="BP78" s="107">
        <f>SUM(F78:Q78)</f>
        <v>0</v>
      </c>
      <c r="BQ78" s="107">
        <f>SUM(R78:AC78)</f>
        <v>0</v>
      </c>
      <c r="BR78" s="107">
        <f>SUM(AD78:AO78)</f>
        <v>0</v>
      </c>
      <c r="BS78" s="107">
        <f>SUM(AP78:BA78)</f>
        <v>0</v>
      </c>
      <c r="BT78" s="107">
        <f>SUM(BB78:BM78)</f>
        <v>0</v>
      </c>
      <c r="BU78" s="107">
        <f>SUM(BP78:BT78)</f>
        <v>0</v>
      </c>
    </row>
    <row r="79" spans="1:73" outlineLevel="1" x14ac:dyDescent="0.2">
      <c r="C79" s="201" t="s">
        <v>69</v>
      </c>
      <c r="D79" s="202" t="s">
        <v>47</v>
      </c>
      <c r="F79" s="239">
        <f>'Вводные данные'!$E$33</f>
        <v>0.06</v>
      </c>
      <c r="G79" s="239">
        <f>'Вводные данные'!$E$33</f>
        <v>0.06</v>
      </c>
      <c r="H79" s="239">
        <f>'Вводные данные'!$E$33</f>
        <v>0.06</v>
      </c>
      <c r="I79" s="239">
        <f>'Вводные данные'!$E$33</f>
        <v>0.06</v>
      </c>
      <c r="J79" s="239">
        <f>'Вводные данные'!$E$33</f>
        <v>0.06</v>
      </c>
      <c r="K79" s="239">
        <f>'Вводные данные'!$E$33</f>
        <v>0.06</v>
      </c>
      <c r="L79" s="239">
        <f>'Вводные данные'!$E$33</f>
        <v>0.06</v>
      </c>
      <c r="M79" s="239">
        <f>'Вводные данные'!$E$33</f>
        <v>0.06</v>
      </c>
      <c r="N79" s="239">
        <f>'Вводные данные'!$E$33</f>
        <v>0.06</v>
      </c>
      <c r="O79" s="239">
        <f>'Вводные данные'!$E$33</f>
        <v>0.06</v>
      </c>
      <c r="P79" s="239">
        <f>'Вводные данные'!$E$33</f>
        <v>0.06</v>
      </c>
      <c r="Q79" s="239">
        <f>'Вводные данные'!$E$33</f>
        <v>0.06</v>
      </c>
      <c r="R79" s="239">
        <f>'Вводные данные'!$E$33</f>
        <v>0.06</v>
      </c>
      <c r="S79" s="239">
        <f>'Вводные данные'!$E$33</f>
        <v>0.06</v>
      </c>
      <c r="T79" s="239">
        <f>'Вводные данные'!$E$33</f>
        <v>0.06</v>
      </c>
      <c r="U79" s="239">
        <f>'Вводные данные'!$E$33</f>
        <v>0.06</v>
      </c>
      <c r="V79" s="239">
        <f>'Вводные данные'!$E$33</f>
        <v>0.06</v>
      </c>
      <c r="W79" s="239">
        <f>'Вводные данные'!$E$33</f>
        <v>0.06</v>
      </c>
      <c r="X79" s="239">
        <f>'Вводные данные'!$E$33</f>
        <v>0.06</v>
      </c>
      <c r="Y79" s="239">
        <f>'Вводные данные'!$E$33</f>
        <v>0.06</v>
      </c>
      <c r="Z79" s="239">
        <f>'Вводные данные'!$E$33</f>
        <v>0.06</v>
      </c>
      <c r="AA79" s="239">
        <f>'Вводные данные'!$E$33</f>
        <v>0.06</v>
      </c>
      <c r="AB79" s="239">
        <f>'Вводные данные'!$E$33</f>
        <v>0.06</v>
      </c>
      <c r="AC79" s="239">
        <f>'Вводные данные'!$E$33</f>
        <v>0.06</v>
      </c>
      <c r="AD79" s="239">
        <f>'Вводные данные'!$E$33</f>
        <v>0.06</v>
      </c>
      <c r="AE79" s="239">
        <f>'Вводные данные'!$E$33</f>
        <v>0.06</v>
      </c>
      <c r="AF79" s="239">
        <f>'Вводные данные'!$E$33</f>
        <v>0.06</v>
      </c>
      <c r="AG79" s="239">
        <f>'Вводные данные'!$E$33</f>
        <v>0.06</v>
      </c>
      <c r="AH79" s="239">
        <f>'Вводные данные'!$E$33</f>
        <v>0.06</v>
      </c>
      <c r="AI79" s="239">
        <f>'Вводные данные'!$E$33</f>
        <v>0.06</v>
      </c>
      <c r="AJ79" s="239">
        <f>'Вводные данные'!$E$33</f>
        <v>0.06</v>
      </c>
      <c r="AK79" s="239">
        <f>'Вводные данные'!$E$33</f>
        <v>0.06</v>
      </c>
      <c r="AL79" s="239">
        <f>'Вводные данные'!$E$33</f>
        <v>0.06</v>
      </c>
      <c r="AM79" s="239">
        <f>'Вводные данные'!$E$33</f>
        <v>0.06</v>
      </c>
      <c r="AN79" s="239">
        <f>'Вводные данные'!$E$33</f>
        <v>0.06</v>
      </c>
      <c r="AO79" s="239">
        <f>'Вводные данные'!$E$33</f>
        <v>0.06</v>
      </c>
      <c r="AP79" s="239">
        <f>'Вводные данные'!$E$33</f>
        <v>0.06</v>
      </c>
      <c r="AQ79" s="239">
        <f>'Вводные данные'!$E$33</f>
        <v>0.06</v>
      </c>
      <c r="AR79" s="239">
        <f>'Вводные данные'!$E$33</f>
        <v>0.06</v>
      </c>
      <c r="AS79" s="239">
        <f>'Вводные данные'!$E$33</f>
        <v>0.06</v>
      </c>
      <c r="AT79" s="239">
        <f>'Вводные данные'!$E$33</f>
        <v>0.06</v>
      </c>
      <c r="AU79" s="239">
        <f>'Вводные данные'!$E$33</f>
        <v>0.06</v>
      </c>
      <c r="AV79" s="239">
        <f>'Вводные данные'!$E$33</f>
        <v>0.06</v>
      </c>
      <c r="AW79" s="239">
        <f>'Вводные данные'!$E$33</f>
        <v>0.06</v>
      </c>
      <c r="AX79" s="239">
        <f>'Вводные данные'!$E$33</f>
        <v>0.06</v>
      </c>
      <c r="AY79" s="239">
        <f>'Вводные данные'!$E$33</f>
        <v>0.06</v>
      </c>
      <c r="AZ79" s="239">
        <f>'Вводные данные'!$E$33</f>
        <v>0.06</v>
      </c>
      <c r="BA79" s="239">
        <f>'Вводные данные'!$E$33</f>
        <v>0.06</v>
      </c>
      <c r="BB79" s="239">
        <f>'Вводные данные'!$E$33</f>
        <v>0.06</v>
      </c>
      <c r="BC79" s="239">
        <f>'Вводные данные'!$E$33</f>
        <v>0.06</v>
      </c>
      <c r="BD79" s="239">
        <f>'Вводные данные'!$E$33</f>
        <v>0.06</v>
      </c>
      <c r="BE79" s="239">
        <f>'Вводные данные'!$E$33</f>
        <v>0.06</v>
      </c>
      <c r="BF79" s="239">
        <f>'Вводные данные'!$E$33</f>
        <v>0.06</v>
      </c>
      <c r="BG79" s="239">
        <f>'Вводные данные'!$E$33</f>
        <v>0.06</v>
      </c>
      <c r="BH79" s="239">
        <f>'Вводные данные'!$E$33</f>
        <v>0.06</v>
      </c>
      <c r="BI79" s="239">
        <f>'Вводные данные'!$E$33</f>
        <v>0.06</v>
      </c>
      <c r="BJ79" s="239">
        <f>'Вводные данные'!$E$33</f>
        <v>0.06</v>
      </c>
      <c r="BK79" s="239">
        <f>'Вводные данные'!$E$33</f>
        <v>0.06</v>
      </c>
      <c r="BL79" s="239">
        <f>'Вводные данные'!$E$33</f>
        <v>0.06</v>
      </c>
      <c r="BM79" s="239">
        <f>'Вводные данные'!$E$33</f>
        <v>0.06</v>
      </c>
      <c r="BO79" s="239">
        <f t="shared" si="128"/>
        <v>3.6000000000000028</v>
      </c>
    </row>
    <row r="80" spans="1:73" ht="27.75" outlineLevel="1" x14ac:dyDescent="0.2">
      <c r="C80" s="300" t="s">
        <v>243</v>
      </c>
      <c r="D80" s="202"/>
      <c r="F80" s="307">
        <f>F68*0.3</f>
        <v>18000</v>
      </c>
      <c r="G80" s="307">
        <f t="shared" ref="G80:BM80" si="132">G68*0.3</f>
        <v>18000</v>
      </c>
      <c r="H80" s="307">
        <f t="shared" si="132"/>
        <v>18000</v>
      </c>
      <c r="I80" s="307">
        <f t="shared" si="132"/>
        <v>18000</v>
      </c>
      <c r="J80" s="307">
        <f t="shared" si="132"/>
        <v>18000</v>
      </c>
      <c r="K80" s="307">
        <f t="shared" si="132"/>
        <v>18000</v>
      </c>
      <c r="L80" s="307">
        <f t="shared" si="132"/>
        <v>18000</v>
      </c>
      <c r="M80" s="307">
        <f t="shared" si="132"/>
        <v>18000</v>
      </c>
      <c r="N80" s="307">
        <f t="shared" si="132"/>
        <v>18000</v>
      </c>
      <c r="O80" s="307">
        <f t="shared" si="132"/>
        <v>18000</v>
      </c>
      <c r="P80" s="307">
        <f t="shared" si="132"/>
        <v>18000</v>
      </c>
      <c r="Q80" s="307">
        <f t="shared" si="132"/>
        <v>18000</v>
      </c>
      <c r="R80" s="307">
        <f t="shared" si="132"/>
        <v>18000</v>
      </c>
      <c r="S80" s="307">
        <f t="shared" si="132"/>
        <v>18000</v>
      </c>
      <c r="T80" s="307">
        <f t="shared" si="132"/>
        <v>18000</v>
      </c>
      <c r="U80" s="307">
        <f t="shared" si="132"/>
        <v>18000</v>
      </c>
      <c r="V80" s="307">
        <f t="shared" si="132"/>
        <v>18000</v>
      </c>
      <c r="W80" s="307">
        <f t="shared" si="132"/>
        <v>18000</v>
      </c>
      <c r="X80" s="307">
        <f t="shared" si="132"/>
        <v>18000</v>
      </c>
      <c r="Y80" s="307">
        <f t="shared" si="132"/>
        <v>18000</v>
      </c>
      <c r="Z80" s="307">
        <f t="shared" si="132"/>
        <v>18000</v>
      </c>
      <c r="AA80" s="307">
        <f t="shared" si="132"/>
        <v>18000</v>
      </c>
      <c r="AB80" s="307">
        <f t="shared" si="132"/>
        <v>18000</v>
      </c>
      <c r="AC80" s="307">
        <f t="shared" si="132"/>
        <v>18000</v>
      </c>
      <c r="AD80" s="307">
        <f t="shared" si="132"/>
        <v>18000</v>
      </c>
      <c r="AE80" s="307">
        <f t="shared" si="132"/>
        <v>18000</v>
      </c>
      <c r="AF80" s="307">
        <f t="shared" si="132"/>
        <v>18000</v>
      </c>
      <c r="AG80" s="307">
        <f t="shared" si="132"/>
        <v>18000</v>
      </c>
      <c r="AH80" s="307">
        <f t="shared" si="132"/>
        <v>18000</v>
      </c>
      <c r="AI80" s="307">
        <f t="shared" si="132"/>
        <v>18000</v>
      </c>
      <c r="AJ80" s="307">
        <f t="shared" si="132"/>
        <v>18000</v>
      </c>
      <c r="AK80" s="307">
        <f t="shared" si="132"/>
        <v>18000</v>
      </c>
      <c r="AL80" s="307">
        <f t="shared" si="132"/>
        <v>18000</v>
      </c>
      <c r="AM80" s="307">
        <f t="shared" si="132"/>
        <v>18000</v>
      </c>
      <c r="AN80" s="307">
        <f t="shared" si="132"/>
        <v>18000</v>
      </c>
      <c r="AO80" s="307">
        <f t="shared" si="132"/>
        <v>18000</v>
      </c>
      <c r="AP80" s="307">
        <f t="shared" si="132"/>
        <v>18000</v>
      </c>
      <c r="AQ80" s="307">
        <f t="shared" si="132"/>
        <v>18000</v>
      </c>
      <c r="AR80" s="307">
        <f t="shared" si="132"/>
        <v>18000</v>
      </c>
      <c r="AS80" s="307">
        <f t="shared" si="132"/>
        <v>18000</v>
      </c>
      <c r="AT80" s="307">
        <f t="shared" si="132"/>
        <v>18000</v>
      </c>
      <c r="AU80" s="307">
        <f t="shared" si="132"/>
        <v>18000</v>
      </c>
      <c r="AV80" s="307">
        <f t="shared" si="132"/>
        <v>18000</v>
      </c>
      <c r="AW80" s="307">
        <f t="shared" si="132"/>
        <v>18000</v>
      </c>
      <c r="AX80" s="307">
        <f t="shared" si="132"/>
        <v>18000</v>
      </c>
      <c r="AY80" s="307">
        <f t="shared" si="132"/>
        <v>18000</v>
      </c>
      <c r="AZ80" s="307">
        <f t="shared" si="132"/>
        <v>18000</v>
      </c>
      <c r="BA80" s="307">
        <f t="shared" si="132"/>
        <v>18000</v>
      </c>
      <c r="BB80" s="307">
        <f t="shared" si="132"/>
        <v>18000</v>
      </c>
      <c r="BC80" s="307">
        <f t="shared" si="132"/>
        <v>18000</v>
      </c>
      <c r="BD80" s="307">
        <f t="shared" si="132"/>
        <v>18000</v>
      </c>
      <c r="BE80" s="307">
        <f t="shared" si="132"/>
        <v>18000</v>
      </c>
      <c r="BF80" s="307">
        <f t="shared" si="132"/>
        <v>18000</v>
      </c>
      <c r="BG80" s="307">
        <f t="shared" si="132"/>
        <v>18000</v>
      </c>
      <c r="BH80" s="307">
        <f t="shared" si="132"/>
        <v>18000</v>
      </c>
      <c r="BI80" s="307">
        <f t="shared" si="132"/>
        <v>18000</v>
      </c>
      <c r="BJ80" s="307">
        <f t="shared" si="132"/>
        <v>18000</v>
      </c>
      <c r="BK80" s="307">
        <f t="shared" si="132"/>
        <v>18000</v>
      </c>
      <c r="BL80" s="307">
        <f t="shared" si="132"/>
        <v>18000</v>
      </c>
      <c r="BM80" s="307">
        <f t="shared" si="132"/>
        <v>18000</v>
      </c>
      <c r="BO80" s="239"/>
    </row>
    <row r="81" spans="1:73" x14ac:dyDescent="0.2">
      <c r="C81" s="4"/>
      <c r="BM81" s="239"/>
      <c r="BO81" s="239">
        <f t="shared" si="128"/>
        <v>0</v>
      </c>
    </row>
    <row r="82" spans="1:73" s="1" customFormat="1" x14ac:dyDescent="0.2">
      <c r="A82" s="34"/>
      <c r="B82" s="34"/>
      <c r="C82" s="106" t="s">
        <v>14</v>
      </c>
      <c r="D82" s="35" t="s">
        <v>25</v>
      </c>
      <c r="E82" s="35"/>
      <c r="F82" s="14">
        <f>IF('Вводные данные'!$E$39&lt;=Модель!F10,F83*F42,0)</f>
        <v>0</v>
      </c>
      <c r="G82" s="14">
        <f>IF('Вводные данные'!$E$39&lt;=Модель!G10,IF((G83*G42)&gt;G84,G83*G42,G84),0)</f>
        <v>32364.800000000003</v>
      </c>
      <c r="H82" s="14">
        <f>IF('Вводные данные'!$E$39&lt;=Модель!H10,IF((H83*H42)&gt;H84,H83*H42,H84),0)</f>
        <v>37550.6</v>
      </c>
      <c r="I82" s="14">
        <f>IF('Вводные данные'!$E$39&lt;=Модель!I10,IF((I83*I42)&gt;I84,I83*I42,I84),0)</f>
        <v>37550.6</v>
      </c>
      <c r="J82" s="14">
        <f>IF('Вводные данные'!$E$39&lt;=Модель!J10,IF((J83*J42)&gt;J84,J83*J42,J84),0)</f>
        <v>37550.6</v>
      </c>
      <c r="K82" s="14">
        <f>IF('Вводные данные'!$E$39&lt;=Модель!K10,IF((K83*K42)&gt;K84,K83*K42,K84),0)</f>
        <v>37550.6</v>
      </c>
      <c r="L82" s="14">
        <f>IF('Вводные данные'!$E$39&lt;=Модель!L10,IF((L83*L42)&gt;L84,L83*L42,L84),0)</f>
        <v>37550.6</v>
      </c>
      <c r="M82" s="14">
        <f>IF('Вводные данные'!$E$39&lt;=Модель!M10,IF((M83*M42)&gt;M84,M83*M42,M84),0)</f>
        <v>37550.6</v>
      </c>
      <c r="N82" s="14">
        <f>IF('Вводные данные'!$E$39&lt;=Модель!N10,IF((N83*N42)&gt;N84,N83*N42,N84),0)</f>
        <v>37550.6</v>
      </c>
      <c r="O82" s="14">
        <f>IF('Вводные данные'!$E$39&lt;=Модель!O10,IF((O83*O42)&gt;O84,O83*O42,O84),0)</f>
        <v>37550.6</v>
      </c>
      <c r="P82" s="14">
        <f>IF('Вводные данные'!$E$39&lt;=Модель!P10,IF((P83*P42)&gt;P84,P83*P42,P84),0)</f>
        <v>37550.6</v>
      </c>
      <c r="Q82" s="14">
        <f>IF('Вводные данные'!$E$39&lt;=Модель!Q10,IF((Q83*Q42)&gt;Q84,Q83*Q42,Q84),0)</f>
        <v>37550.6</v>
      </c>
      <c r="R82" s="14">
        <f>IF('Вводные данные'!$E$39&lt;=Модель!R10,IF((R83*R42)&gt;R84,R83*R42,R84),0)</f>
        <v>44665.839666666667</v>
      </c>
      <c r="S82" s="14">
        <f>IF('Вводные данные'!$E$39&lt;=Модель!S10,IF((S83*S42)&gt;S84,S83*S42,S84),0)</f>
        <v>44926.390398055555</v>
      </c>
      <c r="T82" s="14">
        <f>IF('Вводные данные'!$E$39&lt;=Модель!T10,IF((T83*T42)&gt;T84,T83*T42,T84),0)</f>
        <v>45188.461008710889</v>
      </c>
      <c r="U82" s="14">
        <f>IF('Вводные данные'!$E$39&lt;=Модель!U10,IF((U83*U42)&gt;U84,U83*U42,U84),0)</f>
        <v>45452.06036459504</v>
      </c>
      <c r="V82" s="14">
        <f>IF('Вводные данные'!$E$39&lt;=Модель!V10,IF((V83*V42)&gt;V84,V83*V42,V84),0)</f>
        <v>45717.197383388513</v>
      </c>
      <c r="W82" s="14">
        <f>IF('Вводные данные'!$E$39&lt;=Модель!W10,IF((W83*W42)&gt;W84,W83*W42,W84),0)</f>
        <v>45983.881034791608</v>
      </c>
      <c r="X82" s="14">
        <f>IF('Вводные данные'!$E$39&lt;=Модель!X10,IF((X83*X42)&gt;X84,X83*X42,X84),0)</f>
        <v>46252.120340827889</v>
      </c>
      <c r="Y82" s="14">
        <f>IF('Вводные данные'!$E$39&lt;=Модель!Y10,IF((Y83*Y42)&gt;Y84,Y83*Y42,Y84),0)</f>
        <v>46521.924376149393</v>
      </c>
      <c r="Z82" s="14">
        <f>IF('Вводные данные'!$E$39&lt;=Модель!Z10,IF((Z83*Z42)&gt;Z84,Z83*Z42,Z84),0)</f>
        <v>46793.302268343599</v>
      </c>
      <c r="AA82" s="14">
        <f>IF('Вводные данные'!$E$39&lt;=Модель!AA10,IF((AA83*AA42)&gt;AA84,AA83*AA42,AA84),0)</f>
        <v>47066.263198242261</v>
      </c>
      <c r="AB82" s="14">
        <f>IF('Вводные данные'!$E$39&lt;=Модель!AB10,IF((AB83*AB42)&gt;AB84,AB83*AB42,AB84),0)</f>
        <v>47340.816400232019</v>
      </c>
      <c r="AC82" s="14">
        <f>IF('Вводные данные'!$E$39&lt;=Модель!AC10,IF((AC83*AC42)&gt;AC84,AC83*AC42,AC84),0)</f>
        <v>47616.971162566711</v>
      </c>
      <c r="AD82" s="14">
        <f>IF('Вводные данные'!$E$39&lt;=Модель!AD10,IF((AD83*AD42)&gt;AD84,AD83*AD42,AD84),0)</f>
        <v>47894.736827681685</v>
      </c>
      <c r="AE82" s="14">
        <f>IF('Вводные данные'!$E$39&lt;=Модель!AE10,IF((AE83*AE42)&gt;AE84,AE83*AE42,AE84),0)</f>
        <v>48174.122792509821</v>
      </c>
      <c r="AF82" s="14">
        <f>IF('Вводные данные'!$E$39&lt;=Модель!AF10,IF((AF83*AF42)&gt;AF84,AF83*AF42,AF84),0)</f>
        <v>48455.138508799471</v>
      </c>
      <c r="AG82" s="14">
        <f>IF('Вводные данные'!$E$39&lt;=Модель!AG10,IF((AG83*AG42)&gt;AG84,AG83*AG42,AG84),0)</f>
        <v>48737.793483434136</v>
      </c>
      <c r="AH82" s="14">
        <f>IF('Вводные данные'!$E$39&lt;=Модель!AH10,IF((AH83*AH42)&gt;AH84,AH83*AH42,AH84),0)</f>
        <v>49022.097278754183</v>
      </c>
      <c r="AI82" s="14">
        <f>IF('Вводные данные'!$E$39&lt;=Модель!AI10,IF((AI83*AI42)&gt;AI84,AI83*AI42,AI84),0)</f>
        <v>49308.059512880238</v>
      </c>
      <c r="AJ82" s="14">
        <f>IF('Вводные данные'!$E$39&lt;=Модель!AJ10,IF((AJ83*AJ42)&gt;AJ84,AJ83*AJ42,AJ84),0)</f>
        <v>49595.689860038721</v>
      </c>
      <c r="AK82" s="14">
        <f>IF('Вводные данные'!$E$39&lt;=Модель!AK10,IF((AK83*AK42)&gt;AK84,AK83*AK42,AK84),0)</f>
        <v>49884.998050888935</v>
      </c>
      <c r="AL82" s="14">
        <f>IF('Вводные данные'!$E$39&lt;=Модель!AL10,IF((AL83*AL42)&gt;AL84,AL83*AL42,AL84),0)</f>
        <v>50175.99387285245</v>
      </c>
      <c r="AM82" s="14">
        <f>IF('Вводные данные'!$E$39&lt;=Модель!AM10,IF((AM83*AM42)&gt;AM84,AM83*AM42,AM84),0)</f>
        <v>50468.687170444093</v>
      </c>
      <c r="AN82" s="14">
        <f>IF('Вводные данные'!$E$39&lt;=Модель!AN10,IF((AN83*AN42)&gt;AN84,AN83*AN42,AN84),0)</f>
        <v>50763.08784560502</v>
      </c>
      <c r="AO82" s="14">
        <f>IF('Вводные данные'!$E$39&lt;=Модель!AO10,IF((AO83*AO42)&gt;AO84,AO83*AO42,AO84),0)</f>
        <v>51059.20585803772</v>
      </c>
      <c r="AP82" s="14">
        <f>IF('Вводные данные'!$E$39&lt;=Модель!AP10,IF((AP83*AP42)&gt;AP84,AP83*AP42,AP84),0)</f>
        <v>57595.977438224654</v>
      </c>
      <c r="AQ82" s="14">
        <f>IF('Вводные данные'!$E$39&lt;=Модель!AQ10,IF((AQ83*AQ42)&gt;AQ84,AQ83*AQ42,AQ84),0)</f>
        <v>57931.953973280964</v>
      </c>
      <c r="AR82" s="14">
        <f>IF('Вводные данные'!$E$39&lt;=Модель!AR10,IF((AR83*AR42)&gt;AR84,AR83*AR42,AR84),0)</f>
        <v>58269.890371458445</v>
      </c>
      <c r="AS82" s="14">
        <f>IF('Вводные данные'!$E$39&lt;=Модель!AS10,IF((AS83*AS42)&gt;AS84,AS83*AS42,AS84),0)</f>
        <v>58609.79806529195</v>
      </c>
      <c r="AT82" s="14">
        <f>IF('Вводные данные'!$E$39&lt;=Модель!AT10,IF((AT83*AT42)&gt;AT84,AT83*AT42,AT84),0)</f>
        <v>58951.688554006163</v>
      </c>
      <c r="AU82" s="14">
        <f>IF('Вводные данные'!$E$39&lt;=Модель!AU10,IF((AU83*AU42)&gt;AU84,AU83*AU42,AU84),0)</f>
        <v>59295.57340390452</v>
      </c>
      <c r="AV82" s="14">
        <f>IF('Вводные данные'!$E$39&lt;=Модель!AV10,IF((AV83*AV42)&gt;AV84,AV83*AV42,AV84),0)</f>
        <v>59641.46424876064</v>
      </c>
      <c r="AW82" s="14">
        <f>IF('Вводные данные'!$E$39&lt;=Модель!AW10,IF((AW83*AW42)&gt;AW84,AW83*AW42,AW84),0)</f>
        <v>59989.372790211753</v>
      </c>
      <c r="AX82" s="14">
        <f>IF('Вводные данные'!$E$39&lt;=Модель!AX10,IF((AX83*AX42)&gt;AX84,AX83*AX42,AX84),0)</f>
        <v>60339.310798154656</v>
      </c>
      <c r="AY82" s="14">
        <f>IF('Вводные данные'!$E$39&lt;=Модель!AY10,IF((AY83*AY42)&gt;AY84,AY83*AY42,AY84),0)</f>
        <v>60691.290111143891</v>
      </c>
      <c r="AZ82" s="14">
        <f>IF('Вводные данные'!$E$39&lt;=Модель!AZ10,IF((AZ83*AZ42)&gt;AZ84,AZ83*AZ42,AZ84),0)</f>
        <v>61045.322636792233</v>
      </c>
      <c r="BA82" s="14">
        <f>IF('Вводные данные'!$E$39&lt;=Модель!BA10,IF((BA83*BA42)&gt;BA84,BA83*BA42,BA84),0)</f>
        <v>61401.420352173533</v>
      </c>
      <c r="BB82" s="14">
        <f>IF('Вводные данные'!$E$39&lt;=Модель!BB10,IF((BB83*BB42)&gt;BB84,BB83*BB42,BB84),0)</f>
        <v>68449.533997280436</v>
      </c>
      <c r="BC82" s="14">
        <f>IF('Вводные данные'!$E$39&lt;=Модель!BC10,IF((BC83*BC42)&gt;BC84,BC83*BC42,BC84),0)</f>
        <v>68848.822945597902</v>
      </c>
      <c r="BD82" s="14">
        <f>IF('Вводные данные'!$E$39&lt;=Модель!BD10,IF((BD83*BD42)&gt;BD84,BD83*BD42,BD84),0)</f>
        <v>69250.441079447235</v>
      </c>
      <c r="BE82" s="14">
        <f>IF('Вводные данные'!$E$39&lt;=Модель!BE10,IF((BE83*BE42)&gt;BE84,BE83*BE42,BE84),0)</f>
        <v>69654.401985744</v>
      </c>
      <c r="BF82" s="14">
        <f>IF('Вводные данные'!$E$39&lt;=Модель!BF10,IF((BF83*BF42)&gt;BF84,BF83*BF42,BF84),0)</f>
        <v>70060.719330660839</v>
      </c>
      <c r="BG82" s="14">
        <f>IF('Вводные данные'!$E$39&lt;=Модель!BG10,IF((BG83*BG42)&gt;BG84,BG83*BG42,BG84),0)</f>
        <v>70469.406860089686</v>
      </c>
      <c r="BH82" s="14">
        <f>IF('Вводные данные'!$E$39&lt;=Модель!BH10,IF((BH83*BH42)&gt;BH84,BH83*BH42,BH84),0)</f>
        <v>70880.478400106906</v>
      </c>
      <c r="BI82" s="14">
        <f>IF('Вводные данные'!$E$39&lt;=Модель!BI10,IF((BI83*BI42)&gt;BI84,BI83*BI42,BI84),0)</f>
        <v>71293.947857440842</v>
      </c>
      <c r="BJ82" s="14">
        <f>IF('Вводные данные'!$E$39&lt;=Модель!BJ10,IF((BJ83*BJ42)&gt;BJ84,BJ83*BJ42,BJ84),0)</f>
        <v>71709.829219942592</v>
      </c>
      <c r="BK82" s="14">
        <f>IF('Вводные данные'!$E$39&lt;=Модель!BK10,IF((BK83*BK42)&gt;BK84,BK83*BK42,BK84),0)</f>
        <v>72128.136557058926</v>
      </c>
      <c r="BL82" s="14">
        <f>IF('Вводные данные'!$E$39&lt;=Модель!BL10,IF((BL83*BL42)&gt;BL84,BL83*BL42,BL84),0)</f>
        <v>72548.884020308426</v>
      </c>
      <c r="BM82" s="14">
        <f>IF('Вводные данные'!$E$39&lt;=Модель!BM10,IF((BM83*BM42)&gt;BM84,BM83*BM42,BM84),0)</f>
        <v>72972.085843760229</v>
      </c>
      <c r="BN82" s="225"/>
      <c r="BO82" s="14">
        <f t="shared" si="128"/>
        <v>3116965.3895053389</v>
      </c>
      <c r="BP82" s="107">
        <f>SUM(F82:Q82)</f>
        <v>407870.79999999993</v>
      </c>
      <c r="BQ82" s="107">
        <f>SUM(R82:AC82)</f>
        <v>553525.22760257008</v>
      </c>
      <c r="BR82" s="107">
        <f>SUM(AD82:AO82)</f>
        <v>593539.61106192647</v>
      </c>
      <c r="BS82" s="107">
        <f>SUM(AP82:BA82)</f>
        <v>713763.06274340325</v>
      </c>
      <c r="BT82" s="107">
        <f>SUM(BB82:BM82)</f>
        <v>848266.68809743784</v>
      </c>
      <c r="BU82" s="107">
        <f>SUM(BP82:BT82)</f>
        <v>3116965.3895053379</v>
      </c>
    </row>
    <row r="83" spans="1:73" outlineLevel="1" x14ac:dyDescent="0.2">
      <c r="C83" s="201" t="s">
        <v>32</v>
      </c>
      <c r="D83" s="202" t="s">
        <v>7</v>
      </c>
      <c r="F83" s="239">
        <f>'Вводные данные'!$E$37</f>
        <v>0.05</v>
      </c>
      <c r="G83" s="239">
        <f>'Вводные данные'!$E$37</f>
        <v>0.05</v>
      </c>
      <c r="H83" s="239">
        <f>'Вводные данные'!$E$37</f>
        <v>0.05</v>
      </c>
      <c r="I83" s="239">
        <f>'Вводные данные'!$E$37</f>
        <v>0.05</v>
      </c>
      <c r="J83" s="239">
        <f>'Вводные данные'!$E$37</f>
        <v>0.05</v>
      </c>
      <c r="K83" s="239">
        <f>'Вводные данные'!$E$37</f>
        <v>0.05</v>
      </c>
      <c r="L83" s="239">
        <f>'Вводные данные'!$E$37</f>
        <v>0.05</v>
      </c>
      <c r="M83" s="239">
        <f>'Вводные данные'!$E$37</f>
        <v>0.05</v>
      </c>
      <c r="N83" s="239">
        <f>'Вводные данные'!$E$37</f>
        <v>0.05</v>
      </c>
      <c r="O83" s="239">
        <f>'Вводные данные'!$E$37</f>
        <v>0.05</v>
      </c>
      <c r="P83" s="239">
        <f>'Вводные данные'!$E$37</f>
        <v>0.05</v>
      </c>
      <c r="Q83" s="239">
        <f>'Вводные данные'!$E$37</f>
        <v>0.05</v>
      </c>
      <c r="R83" s="239">
        <f>'Вводные данные'!$E$37</f>
        <v>0.05</v>
      </c>
      <c r="S83" s="239">
        <f>'Вводные данные'!$E$37</f>
        <v>0.05</v>
      </c>
      <c r="T83" s="239">
        <f>'Вводные данные'!$E$37</f>
        <v>0.05</v>
      </c>
      <c r="U83" s="239">
        <f>'Вводные данные'!$E$37</f>
        <v>0.05</v>
      </c>
      <c r="V83" s="239">
        <f>'Вводные данные'!$E$37</f>
        <v>0.05</v>
      </c>
      <c r="W83" s="239">
        <f>'Вводные данные'!$E$37</f>
        <v>0.05</v>
      </c>
      <c r="X83" s="239">
        <f>'Вводные данные'!$E$37</f>
        <v>0.05</v>
      </c>
      <c r="Y83" s="239">
        <f>'Вводные данные'!$E$37</f>
        <v>0.05</v>
      </c>
      <c r="Z83" s="239">
        <f>'Вводные данные'!$E$37</f>
        <v>0.05</v>
      </c>
      <c r="AA83" s="239">
        <f>'Вводные данные'!$E$37</f>
        <v>0.05</v>
      </c>
      <c r="AB83" s="239">
        <f>'Вводные данные'!$E$37</f>
        <v>0.05</v>
      </c>
      <c r="AC83" s="239">
        <f>'Вводные данные'!$E$37</f>
        <v>0.05</v>
      </c>
      <c r="AD83" s="239">
        <f>'Вводные данные'!$E$37</f>
        <v>0.05</v>
      </c>
      <c r="AE83" s="239">
        <f>'Вводные данные'!$E$37</f>
        <v>0.05</v>
      </c>
      <c r="AF83" s="239">
        <f>'Вводные данные'!$E$37</f>
        <v>0.05</v>
      </c>
      <c r="AG83" s="239">
        <f>'Вводные данные'!$E$37</f>
        <v>0.05</v>
      </c>
      <c r="AH83" s="239">
        <f>'Вводные данные'!$E$37</f>
        <v>0.05</v>
      </c>
      <c r="AI83" s="239">
        <f>'Вводные данные'!$E$37</f>
        <v>0.05</v>
      </c>
      <c r="AJ83" s="239">
        <f>'Вводные данные'!$E$37</f>
        <v>0.05</v>
      </c>
      <c r="AK83" s="239">
        <f>'Вводные данные'!$E$37</f>
        <v>0.05</v>
      </c>
      <c r="AL83" s="239">
        <f>'Вводные данные'!$E$37</f>
        <v>0.05</v>
      </c>
      <c r="AM83" s="239">
        <f>'Вводные данные'!$E$37</f>
        <v>0.05</v>
      </c>
      <c r="AN83" s="239">
        <f>'Вводные данные'!$E$37</f>
        <v>0.05</v>
      </c>
      <c r="AO83" s="239">
        <f>'Вводные данные'!$E$37</f>
        <v>0.05</v>
      </c>
      <c r="AP83" s="239">
        <f>'Вводные данные'!$E$37</f>
        <v>0.05</v>
      </c>
      <c r="AQ83" s="239">
        <f>'Вводные данные'!$E$37</f>
        <v>0.05</v>
      </c>
      <c r="AR83" s="239">
        <f>'Вводные данные'!$E$37</f>
        <v>0.05</v>
      </c>
      <c r="AS83" s="239">
        <f>'Вводные данные'!$E$37</f>
        <v>0.05</v>
      </c>
      <c r="AT83" s="239">
        <f>'Вводные данные'!$E$37</f>
        <v>0.05</v>
      </c>
      <c r="AU83" s="239">
        <f>'Вводные данные'!$E$37</f>
        <v>0.05</v>
      </c>
      <c r="AV83" s="239">
        <f>'Вводные данные'!$E$37</f>
        <v>0.05</v>
      </c>
      <c r="AW83" s="239">
        <f>'Вводные данные'!$E$37</f>
        <v>0.05</v>
      </c>
      <c r="AX83" s="239">
        <f>'Вводные данные'!$E$37</f>
        <v>0.05</v>
      </c>
      <c r="AY83" s="239">
        <f>'Вводные данные'!$E$37</f>
        <v>0.05</v>
      </c>
      <c r="AZ83" s="239">
        <f>'Вводные данные'!$E$37</f>
        <v>0.05</v>
      </c>
      <c r="BA83" s="239">
        <f>'Вводные данные'!$E$37</f>
        <v>0.05</v>
      </c>
      <c r="BB83" s="239">
        <f>'Вводные данные'!$E$37</f>
        <v>0.05</v>
      </c>
      <c r="BC83" s="239">
        <f>'Вводные данные'!$E$37</f>
        <v>0.05</v>
      </c>
      <c r="BD83" s="239">
        <f>'Вводные данные'!$E$37</f>
        <v>0.05</v>
      </c>
      <c r="BE83" s="239">
        <f>'Вводные данные'!$E$37</f>
        <v>0.05</v>
      </c>
      <c r="BF83" s="239">
        <f>'Вводные данные'!$E$37</f>
        <v>0.05</v>
      </c>
      <c r="BG83" s="239">
        <f>'Вводные данные'!$E$37</f>
        <v>0.05</v>
      </c>
      <c r="BH83" s="239">
        <f>'Вводные данные'!$E$37</f>
        <v>0.05</v>
      </c>
      <c r="BI83" s="239">
        <f>'Вводные данные'!$E$37</f>
        <v>0.05</v>
      </c>
      <c r="BJ83" s="239">
        <f>'Вводные данные'!$E$37</f>
        <v>0.05</v>
      </c>
      <c r="BK83" s="239">
        <f>'Вводные данные'!$E$37</f>
        <v>0.05</v>
      </c>
      <c r="BL83" s="239">
        <f>'Вводные данные'!$E$37</f>
        <v>0.05</v>
      </c>
      <c r="BM83" s="239">
        <f>'Вводные данные'!$E$37</f>
        <v>0.05</v>
      </c>
      <c r="BO83" s="239">
        <f t="shared" si="128"/>
        <v>2.9999999999999973</v>
      </c>
    </row>
    <row r="84" spans="1:73" outlineLevel="1" x14ac:dyDescent="0.2">
      <c r="C84" s="4" t="s">
        <v>162</v>
      </c>
      <c r="D84" s="226" t="s">
        <v>25</v>
      </c>
      <c r="G84" s="229">
        <f>'Вводные данные'!$E$38</f>
        <v>30000</v>
      </c>
      <c r="H84" s="229">
        <f>'Вводные данные'!$E$38</f>
        <v>30000</v>
      </c>
      <c r="I84" s="229">
        <f>'Вводные данные'!$E$38</f>
        <v>30000</v>
      </c>
      <c r="J84" s="229">
        <f>'Вводные данные'!$E$38</f>
        <v>30000</v>
      </c>
      <c r="K84" s="229">
        <f>'Вводные данные'!$E$38</f>
        <v>30000</v>
      </c>
      <c r="L84" s="229">
        <f>'Вводные данные'!$E$38</f>
        <v>30000</v>
      </c>
      <c r="M84" s="229">
        <f>'Вводные данные'!$E$38</f>
        <v>30000</v>
      </c>
      <c r="N84" s="229">
        <f>'Вводные данные'!$E$38</f>
        <v>30000</v>
      </c>
      <c r="O84" s="229">
        <f>'Вводные данные'!$E$38</f>
        <v>30000</v>
      </c>
      <c r="P84" s="229">
        <f>'Вводные данные'!$E$38</f>
        <v>30000</v>
      </c>
      <c r="Q84" s="229">
        <f>'Вводные данные'!$E$38</f>
        <v>30000</v>
      </c>
      <c r="R84" s="229">
        <f>'Вводные данные'!$E$38</f>
        <v>30000</v>
      </c>
      <c r="S84" s="229">
        <f>'Вводные данные'!$E$38</f>
        <v>30000</v>
      </c>
      <c r="T84" s="229">
        <f>'Вводные данные'!$E$38</f>
        <v>30000</v>
      </c>
      <c r="U84" s="229">
        <f>'Вводные данные'!$E$38</f>
        <v>30000</v>
      </c>
      <c r="V84" s="229">
        <f>'Вводные данные'!$E$38</f>
        <v>30000</v>
      </c>
      <c r="W84" s="229">
        <f>'Вводные данные'!$E$38</f>
        <v>30000</v>
      </c>
      <c r="X84" s="229">
        <f>'Вводные данные'!$E$38</f>
        <v>30000</v>
      </c>
      <c r="Y84" s="229">
        <f>'Вводные данные'!$E$38</f>
        <v>30000</v>
      </c>
      <c r="Z84" s="229">
        <f>'Вводные данные'!$E$38</f>
        <v>30000</v>
      </c>
      <c r="AA84" s="229">
        <f>'Вводные данные'!$E$38</f>
        <v>30000</v>
      </c>
      <c r="AB84" s="229">
        <f>'Вводные данные'!$E$38</f>
        <v>30000</v>
      </c>
      <c r="AC84" s="229">
        <f>'Вводные данные'!$E$38</f>
        <v>30000</v>
      </c>
      <c r="AD84" s="229">
        <f>'Вводные данные'!$E$38</f>
        <v>30000</v>
      </c>
      <c r="AE84" s="229">
        <f>'Вводные данные'!$E$38</f>
        <v>30000</v>
      </c>
      <c r="AF84" s="229">
        <f>'Вводные данные'!$E$38</f>
        <v>30000</v>
      </c>
      <c r="AG84" s="229">
        <f>'Вводные данные'!$E$38</f>
        <v>30000</v>
      </c>
      <c r="AH84" s="229">
        <f>'Вводные данные'!$E$38</f>
        <v>30000</v>
      </c>
      <c r="AI84" s="229">
        <f>'Вводные данные'!$E$38</f>
        <v>30000</v>
      </c>
      <c r="AJ84" s="229">
        <f>'Вводные данные'!$E$38</f>
        <v>30000</v>
      </c>
      <c r="AK84" s="229">
        <f>'Вводные данные'!$E$38</f>
        <v>30000</v>
      </c>
      <c r="AL84" s="229">
        <f>'Вводные данные'!$E$38</f>
        <v>30000</v>
      </c>
      <c r="AM84" s="229">
        <f>'Вводные данные'!$E$38</f>
        <v>30000</v>
      </c>
      <c r="AN84" s="229">
        <f>'Вводные данные'!$E$38</f>
        <v>30000</v>
      </c>
      <c r="AO84" s="229">
        <f>'Вводные данные'!$E$38</f>
        <v>30000</v>
      </c>
      <c r="AP84" s="229">
        <f>'Вводные данные'!$E$38</f>
        <v>30000</v>
      </c>
      <c r="AQ84" s="229">
        <f>'Вводные данные'!$E$38</f>
        <v>30000</v>
      </c>
      <c r="AR84" s="229">
        <f>'Вводные данные'!$E$38</f>
        <v>30000</v>
      </c>
      <c r="AS84" s="229">
        <f>'Вводные данные'!$E$38</f>
        <v>30000</v>
      </c>
      <c r="AT84" s="229">
        <f>'Вводные данные'!$E$38</f>
        <v>30000</v>
      </c>
      <c r="AU84" s="229">
        <f>'Вводные данные'!$E$38</f>
        <v>30000</v>
      </c>
      <c r="AV84" s="229">
        <f>'Вводные данные'!$E$38</f>
        <v>30000</v>
      </c>
      <c r="AW84" s="229">
        <f>'Вводные данные'!$E$38</f>
        <v>30000</v>
      </c>
      <c r="AX84" s="229">
        <f>'Вводные данные'!$E$38</f>
        <v>30000</v>
      </c>
      <c r="AY84" s="229">
        <f>'Вводные данные'!$E$38</f>
        <v>30000</v>
      </c>
      <c r="AZ84" s="229">
        <f>'Вводные данные'!$E$38</f>
        <v>30000</v>
      </c>
      <c r="BA84" s="229">
        <f>'Вводные данные'!$E$38</f>
        <v>30000</v>
      </c>
      <c r="BB84" s="229">
        <f>'Вводные данные'!$E$38</f>
        <v>30000</v>
      </c>
      <c r="BC84" s="229">
        <f>'Вводные данные'!$E$38</f>
        <v>30000</v>
      </c>
      <c r="BD84" s="229">
        <f>'Вводные данные'!$E$38</f>
        <v>30000</v>
      </c>
      <c r="BE84" s="229">
        <f>'Вводные данные'!$E$38</f>
        <v>30000</v>
      </c>
      <c r="BF84" s="229">
        <f>'Вводные данные'!$E$38</f>
        <v>30000</v>
      </c>
      <c r="BG84" s="229">
        <f>'Вводные данные'!$E$38</f>
        <v>30000</v>
      </c>
      <c r="BH84" s="229">
        <f>'Вводные данные'!$E$38</f>
        <v>30000</v>
      </c>
      <c r="BI84" s="229">
        <f>'Вводные данные'!$E$38</f>
        <v>30000</v>
      </c>
      <c r="BJ84" s="229">
        <f>'Вводные данные'!$E$38</f>
        <v>30000</v>
      </c>
      <c r="BK84" s="229">
        <f>'Вводные данные'!$E$38</f>
        <v>30000</v>
      </c>
      <c r="BL84" s="229">
        <f>'Вводные данные'!$E$38</f>
        <v>30000</v>
      </c>
      <c r="BM84" s="229">
        <f>'Вводные данные'!$E$38</f>
        <v>30000</v>
      </c>
      <c r="BO84" s="225">
        <f t="shared" si="128"/>
        <v>1770000</v>
      </c>
    </row>
    <row r="85" spans="1:73" x14ac:dyDescent="0.2">
      <c r="C85" s="4"/>
      <c r="BO85" s="225">
        <f t="shared" si="128"/>
        <v>0</v>
      </c>
    </row>
    <row r="86" spans="1:73" s="1" customFormat="1" x14ac:dyDescent="0.2">
      <c r="A86" s="34"/>
      <c r="B86" s="34"/>
      <c r="C86" s="106" t="s">
        <v>120</v>
      </c>
      <c r="D86" s="35" t="s">
        <v>25</v>
      </c>
      <c r="E86" s="35"/>
      <c r="F86" s="14">
        <f>IF('Вводные данные'!$E$66="нет",F87,F87*F8)</f>
        <v>20000</v>
      </c>
      <c r="G86" s="14">
        <f>IF('Вводные данные'!$E$66="нет",G87,G87*G8)</f>
        <v>20000</v>
      </c>
      <c r="H86" s="14">
        <f>IF('Вводные данные'!$E$66="нет",H87,H87*H8)</f>
        <v>20000</v>
      </c>
      <c r="I86" s="14">
        <f>IF('Вводные данные'!$E$66="нет",I87,I87*I8)</f>
        <v>20000</v>
      </c>
      <c r="J86" s="14">
        <f>IF('Вводные данные'!$E$66="нет",J87,J87*J8)</f>
        <v>20000</v>
      </c>
      <c r="K86" s="14">
        <f>IF('Вводные данные'!$E$66="нет",K87,K87*K8)</f>
        <v>20000</v>
      </c>
      <c r="L86" s="14">
        <f>IF('Вводные данные'!$E$66="нет",L87,L87*L8)</f>
        <v>20000</v>
      </c>
      <c r="M86" s="14">
        <f>IF('Вводные данные'!$E$66="нет",M87,M87*M8)</f>
        <v>20000</v>
      </c>
      <c r="N86" s="14">
        <f>IF('Вводные данные'!$E$66="нет",N87,N87*N8)</f>
        <v>20000</v>
      </c>
      <c r="O86" s="14">
        <f>IF('Вводные данные'!$E$66="нет",O87,O87*O8)</f>
        <v>20000</v>
      </c>
      <c r="P86" s="14">
        <f>IF('Вводные данные'!$E$66="нет",P87,P87*P8)</f>
        <v>20000</v>
      </c>
      <c r="Q86" s="14">
        <f>IF('Вводные данные'!$E$66="нет",Q87,Q87*Q8)</f>
        <v>20000</v>
      </c>
      <c r="R86" s="14">
        <f>IF('Вводные данные'!$E$66="нет",R87,R87*R8)</f>
        <v>20116.666666666668</v>
      </c>
      <c r="S86" s="14">
        <f>IF('Вводные данные'!$E$66="нет",S87,S87*S8)</f>
        <v>20234.013888888891</v>
      </c>
      <c r="T86" s="14">
        <f>IF('Вводные данные'!$E$66="нет",T87,T87*T8)</f>
        <v>20352.045636574076</v>
      </c>
      <c r="U86" s="14">
        <f>IF('Вводные данные'!$E$66="нет",U87,U87*U8)</f>
        <v>20470.765902787425</v>
      </c>
      <c r="V86" s="14">
        <f>IF('Вводные данные'!$E$66="нет",V87,V87*V8)</f>
        <v>20590.178703887017</v>
      </c>
      <c r="W86" s="14">
        <f>IF('Вводные данные'!$E$66="нет",W87,W87*W8)</f>
        <v>20710.288079659695</v>
      </c>
      <c r="X86" s="14">
        <f>IF('Вводные данные'!$E$66="нет",X87,X87*X8)</f>
        <v>20831.098093457706</v>
      </c>
      <c r="Y86" s="14">
        <f>IF('Вводные данные'!$E$66="нет",Y87,Y87*Y8)</f>
        <v>20952.612832336214</v>
      </c>
      <c r="Z86" s="14">
        <f>IF('Вводные данные'!$E$66="нет",Z87,Z87*Z8)</f>
        <v>21074.836407191509</v>
      </c>
      <c r="AA86" s="14">
        <f>IF('Вводные данные'!$E$66="нет",AA87,AA87*AA8)</f>
        <v>21197.772952900126</v>
      </c>
      <c r="AB86" s="14">
        <f>IF('Вводные данные'!$E$66="нет",AB87,AB87*AB8)</f>
        <v>21321.42662845871</v>
      </c>
      <c r="AC86" s="14">
        <f>IF('Вводные данные'!$E$66="нет",AC87,AC87*AC8)</f>
        <v>21445.801617124722</v>
      </c>
      <c r="AD86" s="14">
        <f>IF('Вводные данные'!$E$66="нет",AD87,AD87*AD8)</f>
        <v>21570.90212655795</v>
      </c>
      <c r="AE86" s="14">
        <f>IF('Вводные данные'!$E$66="нет",AE87,AE87*AE8)</f>
        <v>21696.732388962871</v>
      </c>
      <c r="AF86" s="14">
        <f>IF('Вводные данные'!$E$66="нет",AF87,AF87*AF8)</f>
        <v>21823.29666123182</v>
      </c>
      <c r="AG86" s="14">
        <f>IF('Вводные данные'!$E$66="нет",AG87,AG87*AG8)</f>
        <v>21950.599225089009</v>
      </c>
      <c r="AH86" s="14">
        <f>IF('Вводные данные'!$E$66="нет",AH87,AH87*AH8)</f>
        <v>22078.644387235363</v>
      </c>
      <c r="AI86" s="14">
        <f>IF('Вводные данные'!$E$66="нет",AI87,AI87*AI8)</f>
        <v>22207.436479494238</v>
      </c>
      <c r="AJ86" s="14">
        <f>IF('Вводные данные'!$E$66="нет",AJ87,AJ87*AJ8)</f>
        <v>22336.979858957955</v>
      </c>
      <c r="AK86" s="14">
        <f>IF('Вводные данные'!$E$66="нет",AK87,AK87*AK8)</f>
        <v>22467.278908135209</v>
      </c>
      <c r="AL86" s="14">
        <f>IF('Вводные данные'!$E$66="нет",AL87,AL87*AL8)</f>
        <v>22598.338035099332</v>
      </c>
      <c r="AM86" s="14">
        <f>IF('Вводные данные'!$E$66="нет",AM87,AM87*AM8)</f>
        <v>22730.161673637413</v>
      </c>
      <c r="AN86" s="14">
        <f>IF('Вводные данные'!$E$66="нет",AN87,AN87*AN8)</f>
        <v>22862.7542834003</v>
      </c>
      <c r="AO86" s="14">
        <f>IF('Вводные данные'!$E$66="нет",AO87,AO87*AO8)</f>
        <v>22996.120350053468</v>
      </c>
      <c r="AP86" s="14">
        <f>IF('Вводные данные'!$E$66="нет",AP87,AP87*AP8)</f>
        <v>23130.264385428782</v>
      </c>
      <c r="AQ86" s="14">
        <f>IF('Вводные данные'!$E$66="нет",AQ87,AQ87*AQ8)</f>
        <v>23265.190927677118</v>
      </c>
      <c r="AR86" s="14">
        <f>IF('Вводные данные'!$E$66="нет",AR87,AR87*AR8)</f>
        <v>23400.904541421904</v>
      </c>
      <c r="AS86" s="14">
        <f>IF('Вводные данные'!$E$66="нет",AS87,AS87*AS8)</f>
        <v>23537.409817913533</v>
      </c>
      <c r="AT86" s="14">
        <f>IF('Вводные данные'!$E$66="нет",AT87,AT87*AT8)</f>
        <v>23674.711375184695</v>
      </c>
      <c r="AU86" s="14">
        <f>IF('Вводные данные'!$E$66="нет",AU87,AU87*AU8)</f>
        <v>23812.813858206606</v>
      </c>
      <c r="AV86" s="14">
        <f>IF('Вводные данные'!$E$66="нет",AV87,AV87*AV8)</f>
        <v>23951.721939046147</v>
      </c>
      <c r="AW86" s="14">
        <f>IF('Вводные данные'!$E$66="нет",AW87,AW87*AW8)</f>
        <v>24091.440317023917</v>
      </c>
      <c r="AX86" s="14">
        <f>IF('Вводные данные'!$E$66="нет",AX87,AX87*AX8)</f>
        <v>24231.973718873222</v>
      </c>
      <c r="AY86" s="14">
        <f>IF('Вводные данные'!$E$66="нет",AY87,AY87*AY8)</f>
        <v>24373.326898899984</v>
      </c>
      <c r="AZ86" s="14">
        <f>IF('Вводные данные'!$E$66="нет",AZ87,AZ87*AZ8)</f>
        <v>24515.504639143568</v>
      </c>
      <c r="BA86" s="14">
        <f>IF('Вводные данные'!$E$66="нет",BA87,BA87*BA8)</f>
        <v>24658.511749538575</v>
      </c>
      <c r="BB86" s="14">
        <f>IF('Вводные данные'!$E$66="нет",BB87,BB87*BB8)</f>
        <v>24802.353068077551</v>
      </c>
      <c r="BC86" s="14">
        <f>IF('Вводные данные'!$E$66="нет",BC87,BC87*BC8)</f>
        <v>24947.033460974671</v>
      </c>
      <c r="BD86" s="14">
        <f>IF('Вводные данные'!$E$66="нет",BD87,BD87*BD8)</f>
        <v>25092.557822830357</v>
      </c>
      <c r="BE86" s="14">
        <f>IF('Вводные данные'!$E$66="нет",BE87,BE87*BE8)</f>
        <v>25238.931076796867</v>
      </c>
      <c r="BF86" s="14">
        <f>IF('Вводные данные'!$E$66="нет",BF87,BF87*BF8)</f>
        <v>25386.158174744851</v>
      </c>
      <c r="BG86" s="14">
        <f>IF('Вводные данные'!$E$66="нет",BG87,BG87*BG8)</f>
        <v>25534.244097430863</v>
      </c>
      <c r="BH86" s="14">
        <f>IF('Вводные данные'!$E$66="нет",BH87,BH87*BH8)</f>
        <v>25683.193854665878</v>
      </c>
      <c r="BI86" s="14">
        <f>IF('Вводные данные'!$E$66="нет",BI87,BI87*BI8)</f>
        <v>25833.01248548476</v>
      </c>
      <c r="BJ86" s="14">
        <f>IF('Вводные данные'!$E$66="нет",BJ87,BJ87*BJ8)</f>
        <v>25983.705058316758</v>
      </c>
      <c r="BK86" s="14">
        <f>IF('Вводные данные'!$E$66="нет",BK87,BK87*BK8)</f>
        <v>26135.276671156938</v>
      </c>
      <c r="BL86" s="14">
        <f>IF('Вводные данные'!$E$66="нет",BL87,BL87*BL8)</f>
        <v>26287.732451738684</v>
      </c>
      <c r="BM86" s="14">
        <f>IF('Вводные данные'!$E$66="нет",BM87,BM87*BM8)</f>
        <v>26441.077557707162</v>
      </c>
      <c r="BN86" s="225"/>
      <c r="BO86" s="14">
        <f t="shared" si="128"/>
        <v>1350625.8017360712</v>
      </c>
      <c r="BP86" s="107">
        <f>SUM(F86:Q86)</f>
        <v>240000</v>
      </c>
      <c r="BQ86" s="107">
        <f>SUM(R86:AC86)</f>
        <v>249297.50740993276</v>
      </c>
      <c r="BR86" s="107">
        <f>SUM(AD86:AO86)</f>
        <v>267319.24437785492</v>
      </c>
      <c r="BS86" s="107">
        <f>SUM(AP86:BA86)</f>
        <v>286643.77416835807</v>
      </c>
      <c r="BT86" s="107">
        <f>SUM(BB86:BM86)</f>
        <v>307365.27577992534</v>
      </c>
      <c r="BU86" s="107">
        <f>SUM(BP86:BT86)</f>
        <v>1350625.8017360712</v>
      </c>
    </row>
    <row r="87" spans="1:73" outlineLevel="1" x14ac:dyDescent="0.2">
      <c r="C87" s="201" t="s">
        <v>117</v>
      </c>
      <c r="D87" s="202" t="s">
        <v>142</v>
      </c>
      <c r="F87" s="225">
        <f>'Вводные данные'!$E$52</f>
        <v>20000</v>
      </c>
      <c r="G87" s="225">
        <f>'Вводные данные'!$E$52</f>
        <v>20000</v>
      </c>
      <c r="H87" s="225">
        <f>'Вводные данные'!$E$52</f>
        <v>20000</v>
      </c>
      <c r="I87" s="225">
        <f>'Вводные данные'!$E$52</f>
        <v>20000</v>
      </c>
      <c r="J87" s="225">
        <f>'Вводные данные'!$E$52</f>
        <v>20000</v>
      </c>
      <c r="K87" s="225">
        <f>'Вводные данные'!$E$52</f>
        <v>20000</v>
      </c>
      <c r="L87" s="225">
        <f>'Вводные данные'!$E$52</f>
        <v>20000</v>
      </c>
      <c r="M87" s="225">
        <f>'Вводные данные'!$E$52</f>
        <v>20000</v>
      </c>
      <c r="N87" s="225">
        <f>'Вводные данные'!$E$52</f>
        <v>20000</v>
      </c>
      <c r="O87" s="225">
        <f>'Вводные данные'!$E$52</f>
        <v>20000</v>
      </c>
      <c r="P87" s="225">
        <f>'Вводные данные'!$E$52</f>
        <v>20000</v>
      </c>
      <c r="Q87" s="225">
        <f>'Вводные данные'!$E$52</f>
        <v>20000</v>
      </c>
      <c r="R87" s="225">
        <f>'Вводные данные'!$E$52</f>
        <v>20000</v>
      </c>
      <c r="S87" s="225">
        <f>'Вводные данные'!$E$52</f>
        <v>20000</v>
      </c>
      <c r="T87" s="225">
        <f>'Вводные данные'!$E$52</f>
        <v>20000</v>
      </c>
      <c r="U87" s="225">
        <f>'Вводные данные'!$E$52</f>
        <v>20000</v>
      </c>
      <c r="V87" s="225">
        <f>'Вводные данные'!$E$52</f>
        <v>20000</v>
      </c>
      <c r="W87" s="225">
        <f>'Вводные данные'!$E$52</f>
        <v>20000</v>
      </c>
      <c r="X87" s="225">
        <f>'Вводные данные'!$E$52</f>
        <v>20000</v>
      </c>
      <c r="Y87" s="225">
        <f>'Вводные данные'!$E$52</f>
        <v>20000</v>
      </c>
      <c r="Z87" s="225">
        <f>'Вводные данные'!$E$52</f>
        <v>20000</v>
      </c>
      <c r="AA87" s="225">
        <f>'Вводные данные'!$E$52</f>
        <v>20000</v>
      </c>
      <c r="AB87" s="225">
        <f>'Вводные данные'!$E$52</f>
        <v>20000</v>
      </c>
      <c r="AC87" s="225">
        <f>'Вводные данные'!$E$52</f>
        <v>20000</v>
      </c>
      <c r="AD87" s="225">
        <f>'Вводные данные'!$E$52</f>
        <v>20000</v>
      </c>
      <c r="AE87" s="225">
        <f>'Вводные данные'!$E$52</f>
        <v>20000</v>
      </c>
      <c r="AF87" s="225">
        <f>'Вводные данные'!$E$52</f>
        <v>20000</v>
      </c>
      <c r="AG87" s="225">
        <f>'Вводные данные'!$E$52</f>
        <v>20000</v>
      </c>
      <c r="AH87" s="225">
        <f>'Вводные данные'!$E$52</f>
        <v>20000</v>
      </c>
      <c r="AI87" s="225">
        <f>'Вводные данные'!$E$52</f>
        <v>20000</v>
      </c>
      <c r="AJ87" s="225">
        <f>'Вводные данные'!$E$52</f>
        <v>20000</v>
      </c>
      <c r="AK87" s="225">
        <f>'Вводные данные'!$E$52</f>
        <v>20000</v>
      </c>
      <c r="AL87" s="225">
        <f>'Вводные данные'!$E$52</f>
        <v>20000</v>
      </c>
      <c r="AM87" s="225">
        <f>'Вводные данные'!$E$52</f>
        <v>20000</v>
      </c>
      <c r="AN87" s="225">
        <f>'Вводные данные'!$E$52</f>
        <v>20000</v>
      </c>
      <c r="AO87" s="225">
        <f>'Вводные данные'!$E$52</f>
        <v>20000</v>
      </c>
      <c r="AP87" s="225">
        <f>'Вводные данные'!$E$52</f>
        <v>20000</v>
      </c>
      <c r="AQ87" s="225">
        <f>'Вводные данные'!$E$52</f>
        <v>20000</v>
      </c>
      <c r="AR87" s="225">
        <f>'Вводные данные'!$E$52</f>
        <v>20000</v>
      </c>
      <c r="AS87" s="225">
        <f>'Вводные данные'!$E$52</f>
        <v>20000</v>
      </c>
      <c r="AT87" s="225">
        <f>'Вводные данные'!$E$52</f>
        <v>20000</v>
      </c>
      <c r="AU87" s="225">
        <f>'Вводные данные'!$E$52</f>
        <v>20000</v>
      </c>
      <c r="AV87" s="225">
        <f>'Вводные данные'!$E$52</f>
        <v>20000</v>
      </c>
      <c r="AW87" s="225">
        <f>'Вводные данные'!$E$52</f>
        <v>20000</v>
      </c>
      <c r="AX87" s="225">
        <f>'Вводные данные'!$E$52</f>
        <v>20000</v>
      </c>
      <c r="AY87" s="225">
        <f>'Вводные данные'!$E$52</f>
        <v>20000</v>
      </c>
      <c r="AZ87" s="225">
        <f>'Вводные данные'!$E$52</f>
        <v>20000</v>
      </c>
      <c r="BA87" s="225">
        <f>'Вводные данные'!$E$52</f>
        <v>20000</v>
      </c>
      <c r="BB87" s="225">
        <f>'Вводные данные'!$E$52</f>
        <v>20000</v>
      </c>
      <c r="BC87" s="225">
        <f>'Вводные данные'!$E$52</f>
        <v>20000</v>
      </c>
      <c r="BD87" s="225">
        <f>'Вводные данные'!$E$52</f>
        <v>20000</v>
      </c>
      <c r="BE87" s="225">
        <f>'Вводные данные'!$E$52</f>
        <v>20000</v>
      </c>
      <c r="BF87" s="225">
        <f>'Вводные данные'!$E$52</f>
        <v>20000</v>
      </c>
      <c r="BG87" s="225">
        <f>'Вводные данные'!$E$52</f>
        <v>20000</v>
      </c>
      <c r="BH87" s="225">
        <f>'Вводные данные'!$E$52</f>
        <v>20000</v>
      </c>
      <c r="BI87" s="225">
        <f>'Вводные данные'!$E$52</f>
        <v>20000</v>
      </c>
      <c r="BJ87" s="225">
        <f>'Вводные данные'!$E$52</f>
        <v>20000</v>
      </c>
      <c r="BK87" s="225">
        <f>'Вводные данные'!$E$52</f>
        <v>20000</v>
      </c>
      <c r="BL87" s="225">
        <f>'Вводные данные'!$E$52</f>
        <v>20000</v>
      </c>
      <c r="BM87" s="225">
        <f>'Вводные данные'!$E$52</f>
        <v>20000</v>
      </c>
      <c r="BO87" s="225">
        <f t="shared" si="128"/>
        <v>1200000</v>
      </c>
    </row>
    <row r="88" spans="1:73" x14ac:dyDescent="0.2">
      <c r="C88" s="201"/>
      <c r="D88" s="202"/>
      <c r="BO88" s="225">
        <f t="shared" si="128"/>
        <v>0</v>
      </c>
    </row>
    <row r="89" spans="1:73" s="1" customFormat="1" x14ac:dyDescent="0.2">
      <c r="A89" s="34"/>
      <c r="B89" s="34"/>
      <c r="C89" s="106" t="s">
        <v>20</v>
      </c>
      <c r="D89" s="35" t="s">
        <v>25</v>
      </c>
      <c r="E89" s="35"/>
      <c r="F89" s="14">
        <f t="shared" ref="F89:AK89" si="133">F33/F91</f>
        <v>48085.714285714283</v>
      </c>
      <c r="G89" s="14">
        <f t="shared" si="133"/>
        <v>57702.857142857138</v>
      </c>
      <c r="H89" s="14">
        <f t="shared" si="133"/>
        <v>67319.999999999985</v>
      </c>
      <c r="I89" s="14">
        <f t="shared" si="133"/>
        <v>67319.999999999985</v>
      </c>
      <c r="J89" s="14">
        <f t="shared" si="133"/>
        <v>67319.999999999985</v>
      </c>
      <c r="K89" s="14">
        <f t="shared" si="133"/>
        <v>67319.999999999985</v>
      </c>
      <c r="L89" s="14">
        <f t="shared" si="133"/>
        <v>67319.999999999985</v>
      </c>
      <c r="M89" s="14">
        <f t="shared" si="133"/>
        <v>67319.999999999985</v>
      </c>
      <c r="N89" s="14">
        <f t="shared" si="133"/>
        <v>67319.999999999985</v>
      </c>
      <c r="O89" s="14">
        <f t="shared" si="133"/>
        <v>67319.999999999985</v>
      </c>
      <c r="P89" s="14">
        <f t="shared" si="133"/>
        <v>67319.999999999985</v>
      </c>
      <c r="Q89" s="14">
        <f t="shared" si="133"/>
        <v>67319.999999999985</v>
      </c>
      <c r="R89" s="14">
        <f t="shared" si="133"/>
        <v>77385.942857142858</v>
      </c>
      <c r="S89" s="14">
        <f t="shared" si="133"/>
        <v>77837.360857142849</v>
      </c>
      <c r="T89" s="14">
        <f t="shared" si="133"/>
        <v>78291.412128809519</v>
      </c>
      <c r="U89" s="14">
        <f t="shared" si="133"/>
        <v>78748.112032894263</v>
      </c>
      <c r="V89" s="14">
        <f t="shared" si="133"/>
        <v>79207.476019752808</v>
      </c>
      <c r="W89" s="14">
        <f t="shared" si="133"/>
        <v>79669.519629868024</v>
      </c>
      <c r="X89" s="14">
        <f t="shared" si="133"/>
        <v>80134.258494375594</v>
      </c>
      <c r="Y89" s="14">
        <f t="shared" si="133"/>
        <v>80601.70833559279</v>
      </c>
      <c r="Z89" s="14">
        <f t="shared" si="133"/>
        <v>81071.884967550417</v>
      </c>
      <c r="AA89" s="14">
        <f t="shared" si="133"/>
        <v>81544.804296527785</v>
      </c>
      <c r="AB89" s="14">
        <f t="shared" si="133"/>
        <v>82020.482321590869</v>
      </c>
      <c r="AC89" s="14">
        <f t="shared" si="133"/>
        <v>82498.935135133492</v>
      </c>
      <c r="AD89" s="14">
        <f t="shared" si="133"/>
        <v>82980.178923421772</v>
      </c>
      <c r="AE89" s="14">
        <f t="shared" si="133"/>
        <v>83464.229967141728</v>
      </c>
      <c r="AF89" s="14">
        <f t="shared" si="133"/>
        <v>83951.104641950064</v>
      </c>
      <c r="AG89" s="14">
        <f t="shared" si="133"/>
        <v>84440.819419028121</v>
      </c>
      <c r="AH89" s="14">
        <f t="shared" si="133"/>
        <v>84933.390865639129</v>
      </c>
      <c r="AI89" s="14">
        <f t="shared" si="133"/>
        <v>85428.835645688669</v>
      </c>
      <c r="AJ89" s="14">
        <f t="shared" si="133"/>
        <v>85927.17052028855</v>
      </c>
      <c r="AK89" s="14">
        <f t="shared" si="133"/>
        <v>86428.41234832356</v>
      </c>
      <c r="AL89" s="14">
        <f t="shared" ref="AL89:BM89" si="134">AL33/AL91</f>
        <v>86932.578087022121</v>
      </c>
      <c r="AM89" s="14">
        <f t="shared" si="134"/>
        <v>87439.684792529748</v>
      </c>
      <c r="AN89" s="14">
        <f t="shared" si="134"/>
        <v>87949.749620486182</v>
      </c>
      <c r="AO89" s="14">
        <f t="shared" si="134"/>
        <v>88462.789826605687</v>
      </c>
      <c r="AP89" s="14">
        <f t="shared" si="134"/>
        <v>100101.17561316851</v>
      </c>
      <c r="AQ89" s="14">
        <f t="shared" si="134"/>
        <v>100685.09913757865</v>
      </c>
      <c r="AR89" s="14">
        <f t="shared" si="134"/>
        <v>101272.42888254789</v>
      </c>
      <c r="AS89" s="14">
        <f t="shared" si="134"/>
        <v>101863.18471769606</v>
      </c>
      <c r="AT89" s="14">
        <f t="shared" si="134"/>
        <v>102457.3866285493</v>
      </c>
      <c r="AU89" s="14">
        <f t="shared" si="134"/>
        <v>103055.05471721585</v>
      </c>
      <c r="AV89" s="14">
        <f t="shared" si="134"/>
        <v>103656.20920306628</v>
      </c>
      <c r="AW89" s="14">
        <f t="shared" si="134"/>
        <v>104260.87042341751</v>
      </c>
      <c r="AX89" s="14">
        <f t="shared" si="134"/>
        <v>104869.05883422078</v>
      </c>
      <c r="AY89" s="14">
        <f t="shared" si="134"/>
        <v>105480.79501075373</v>
      </c>
      <c r="AZ89" s="14">
        <f t="shared" si="134"/>
        <v>106096.09964831646</v>
      </c>
      <c r="BA89" s="14">
        <f t="shared" si="134"/>
        <v>106714.99356293165</v>
      </c>
      <c r="BB89" s="14">
        <f t="shared" si="134"/>
        <v>119263.88632449863</v>
      </c>
      <c r="BC89" s="14">
        <f t="shared" si="134"/>
        <v>119959.59232805819</v>
      </c>
      <c r="BD89" s="14">
        <f t="shared" si="134"/>
        <v>120659.35661663854</v>
      </c>
      <c r="BE89" s="14">
        <f t="shared" si="134"/>
        <v>121363.20286356892</v>
      </c>
      <c r="BF89" s="14">
        <f t="shared" si="134"/>
        <v>122071.15488027308</v>
      </c>
      <c r="BG89" s="14">
        <f t="shared" si="134"/>
        <v>122783.23661707468</v>
      </c>
      <c r="BH89" s="14">
        <f t="shared" si="134"/>
        <v>123499.47216400763</v>
      </c>
      <c r="BI89" s="14">
        <f t="shared" si="134"/>
        <v>124219.88575163101</v>
      </c>
      <c r="BJ89" s="14">
        <f t="shared" si="134"/>
        <v>124944.50175184886</v>
      </c>
      <c r="BK89" s="14">
        <f t="shared" si="134"/>
        <v>125673.34467873465</v>
      </c>
      <c r="BL89" s="14">
        <f t="shared" si="134"/>
        <v>126406.43918936059</v>
      </c>
      <c r="BM89" s="14">
        <f t="shared" si="134"/>
        <v>127143.81008463187</v>
      </c>
      <c r="BN89" s="225"/>
      <c r="BO89" s="14">
        <f t="shared" si="128"/>
        <v>5484839.6527928663</v>
      </c>
      <c r="BP89" s="107">
        <f>SUM(F89:Q89)</f>
        <v>778988.57142857136</v>
      </c>
      <c r="BQ89" s="107">
        <f>SUM(R89:AC89)</f>
        <v>959011.89707638114</v>
      </c>
      <c r="BR89" s="107">
        <f>SUM(AD89:AO89)</f>
        <v>1028338.9446581254</v>
      </c>
      <c r="BS89" s="107">
        <f>SUM(AP89:BA89)</f>
        <v>1240512.3563794626</v>
      </c>
      <c r="BT89" s="107">
        <f>SUM(BB89:BM89)</f>
        <v>1477987.8832503266</v>
      </c>
      <c r="BU89" s="107">
        <f>SUM(BP89:BT89)</f>
        <v>5484839.6527928673</v>
      </c>
    </row>
    <row r="90" spans="1:73" outlineLevel="1" x14ac:dyDescent="0.2">
      <c r="C90" s="201" t="s">
        <v>61</v>
      </c>
      <c r="D90" s="202" t="s">
        <v>7</v>
      </c>
      <c r="E90" s="209"/>
      <c r="F90" s="239">
        <f>'Вводные данные'!$E$43</f>
        <v>1.1000000000000001</v>
      </c>
      <c r="G90" s="239">
        <f>'Вводные данные'!$E$43</f>
        <v>1.1000000000000001</v>
      </c>
      <c r="H90" s="239">
        <f>'Вводные данные'!$E$43</f>
        <v>1.1000000000000001</v>
      </c>
      <c r="I90" s="239">
        <f>'Вводные данные'!$E$43</f>
        <v>1.1000000000000001</v>
      </c>
      <c r="J90" s="239">
        <f>'Вводные данные'!$E$43</f>
        <v>1.1000000000000001</v>
      </c>
      <c r="K90" s="239">
        <f>'Вводные данные'!$E$43</f>
        <v>1.1000000000000001</v>
      </c>
      <c r="L90" s="239">
        <f>'Вводные данные'!$E$43</f>
        <v>1.1000000000000001</v>
      </c>
      <c r="M90" s="239">
        <f>'Вводные данные'!$E$43</f>
        <v>1.1000000000000001</v>
      </c>
      <c r="N90" s="239">
        <f>'Вводные данные'!$E$43</f>
        <v>1.1000000000000001</v>
      </c>
      <c r="O90" s="239">
        <f>'Вводные данные'!$E$43</f>
        <v>1.1000000000000001</v>
      </c>
      <c r="P90" s="239">
        <f>'Вводные данные'!$E$43</f>
        <v>1.1000000000000001</v>
      </c>
      <c r="Q90" s="239">
        <f>'Вводные данные'!$E$43</f>
        <v>1.1000000000000001</v>
      </c>
      <c r="R90" s="239">
        <f>'Вводные данные'!$E$43</f>
        <v>1.1000000000000001</v>
      </c>
      <c r="S90" s="239">
        <f>'Вводные данные'!$E$43</f>
        <v>1.1000000000000001</v>
      </c>
      <c r="T90" s="239">
        <f>'Вводные данные'!$E$43</f>
        <v>1.1000000000000001</v>
      </c>
      <c r="U90" s="239">
        <f>'Вводные данные'!$E$43</f>
        <v>1.1000000000000001</v>
      </c>
      <c r="V90" s="239">
        <f>'Вводные данные'!$E$43</f>
        <v>1.1000000000000001</v>
      </c>
      <c r="W90" s="239">
        <f>'Вводные данные'!$E$43</f>
        <v>1.1000000000000001</v>
      </c>
      <c r="X90" s="239">
        <f>'Вводные данные'!$E$43</f>
        <v>1.1000000000000001</v>
      </c>
      <c r="Y90" s="239">
        <f>'Вводные данные'!$E$43</f>
        <v>1.1000000000000001</v>
      </c>
      <c r="Z90" s="239">
        <f>'Вводные данные'!$E$43</f>
        <v>1.1000000000000001</v>
      </c>
      <c r="AA90" s="239">
        <f>'Вводные данные'!$E$43</f>
        <v>1.1000000000000001</v>
      </c>
      <c r="AB90" s="239">
        <f>'Вводные данные'!$E$43</f>
        <v>1.1000000000000001</v>
      </c>
      <c r="AC90" s="239">
        <f>'Вводные данные'!$E$43</f>
        <v>1.1000000000000001</v>
      </c>
      <c r="AD90" s="239">
        <f>'Вводные данные'!$E$43</f>
        <v>1.1000000000000001</v>
      </c>
      <c r="AE90" s="239">
        <f>'Вводные данные'!$E$43</f>
        <v>1.1000000000000001</v>
      </c>
      <c r="AF90" s="239">
        <f>'Вводные данные'!$E$43</f>
        <v>1.1000000000000001</v>
      </c>
      <c r="AG90" s="239">
        <f>'Вводные данные'!$E$43</f>
        <v>1.1000000000000001</v>
      </c>
      <c r="AH90" s="239">
        <f>'Вводные данные'!$E$43</f>
        <v>1.1000000000000001</v>
      </c>
      <c r="AI90" s="239">
        <f>'Вводные данные'!$E$43</f>
        <v>1.1000000000000001</v>
      </c>
      <c r="AJ90" s="239">
        <f>'Вводные данные'!$E$43</f>
        <v>1.1000000000000001</v>
      </c>
      <c r="AK90" s="239">
        <f>'Вводные данные'!$E$43</f>
        <v>1.1000000000000001</v>
      </c>
      <c r="AL90" s="239">
        <f>'Вводные данные'!$E$43</f>
        <v>1.1000000000000001</v>
      </c>
      <c r="AM90" s="239">
        <f>'Вводные данные'!$E$43</f>
        <v>1.1000000000000001</v>
      </c>
      <c r="AN90" s="239">
        <f>'Вводные данные'!$E$43</f>
        <v>1.1000000000000001</v>
      </c>
      <c r="AO90" s="239">
        <f>'Вводные данные'!$E$43</f>
        <v>1.1000000000000001</v>
      </c>
      <c r="AP90" s="239">
        <f>'Вводные данные'!$E$43</f>
        <v>1.1000000000000001</v>
      </c>
      <c r="AQ90" s="239">
        <f>'Вводные данные'!$E$43</f>
        <v>1.1000000000000001</v>
      </c>
      <c r="AR90" s="239">
        <f>'Вводные данные'!$E$43</f>
        <v>1.1000000000000001</v>
      </c>
      <c r="AS90" s="239">
        <f>'Вводные данные'!$E$43</f>
        <v>1.1000000000000001</v>
      </c>
      <c r="AT90" s="239">
        <f>'Вводные данные'!$E$43</f>
        <v>1.1000000000000001</v>
      </c>
      <c r="AU90" s="239">
        <f>'Вводные данные'!$E$43</f>
        <v>1.1000000000000001</v>
      </c>
      <c r="AV90" s="239">
        <f>'Вводные данные'!$E$43</f>
        <v>1.1000000000000001</v>
      </c>
      <c r="AW90" s="239">
        <f>'Вводные данные'!$E$43</f>
        <v>1.1000000000000001</v>
      </c>
      <c r="AX90" s="239">
        <f>'Вводные данные'!$E$43</f>
        <v>1.1000000000000001</v>
      </c>
      <c r="AY90" s="239">
        <f>'Вводные данные'!$E$43</f>
        <v>1.1000000000000001</v>
      </c>
      <c r="AZ90" s="239">
        <f>'Вводные данные'!$E$43</f>
        <v>1.1000000000000001</v>
      </c>
      <c r="BA90" s="239">
        <f>'Вводные данные'!$E$43</f>
        <v>1.1000000000000001</v>
      </c>
      <c r="BB90" s="239">
        <f>'Вводные данные'!$E$43</f>
        <v>1.1000000000000001</v>
      </c>
      <c r="BC90" s="239">
        <f>'Вводные данные'!$E$43</f>
        <v>1.1000000000000001</v>
      </c>
      <c r="BD90" s="239">
        <f>'Вводные данные'!$E$43</f>
        <v>1.1000000000000001</v>
      </c>
      <c r="BE90" s="239">
        <f>'Вводные данные'!$E$43</f>
        <v>1.1000000000000001</v>
      </c>
      <c r="BF90" s="239">
        <f>'Вводные данные'!$E$43</f>
        <v>1.1000000000000001</v>
      </c>
      <c r="BG90" s="239">
        <f>'Вводные данные'!$E$43</f>
        <v>1.1000000000000001</v>
      </c>
      <c r="BH90" s="239">
        <f>'Вводные данные'!$E$43</f>
        <v>1.1000000000000001</v>
      </c>
      <c r="BI90" s="239">
        <f>'Вводные данные'!$E$43</f>
        <v>1.1000000000000001</v>
      </c>
      <c r="BJ90" s="239">
        <f>'Вводные данные'!$E$43</f>
        <v>1.1000000000000001</v>
      </c>
      <c r="BK90" s="239">
        <f>'Вводные данные'!$E$43</f>
        <v>1.1000000000000001</v>
      </c>
      <c r="BL90" s="239">
        <f>'Вводные данные'!$E$43</f>
        <v>1.1000000000000001</v>
      </c>
      <c r="BM90" s="239">
        <f>'Вводные данные'!$E$43</f>
        <v>1.1000000000000001</v>
      </c>
      <c r="BO90" s="239">
        <f t="shared" si="128"/>
        <v>66.000000000000043</v>
      </c>
    </row>
    <row r="91" spans="1:73" outlineLevel="1" x14ac:dyDescent="0.2">
      <c r="C91" s="201"/>
      <c r="D91" s="202"/>
      <c r="E91" s="209"/>
      <c r="F91" s="239">
        <f>(1+F90)</f>
        <v>2.1</v>
      </c>
      <c r="G91" s="239">
        <f t="shared" ref="G91:BM91" si="135">(1+G90)</f>
        <v>2.1</v>
      </c>
      <c r="H91" s="239">
        <f t="shared" si="135"/>
        <v>2.1</v>
      </c>
      <c r="I91" s="239">
        <f t="shared" si="135"/>
        <v>2.1</v>
      </c>
      <c r="J91" s="239">
        <f t="shared" si="135"/>
        <v>2.1</v>
      </c>
      <c r="K91" s="239">
        <f t="shared" si="135"/>
        <v>2.1</v>
      </c>
      <c r="L91" s="239">
        <f t="shared" si="135"/>
        <v>2.1</v>
      </c>
      <c r="M91" s="239">
        <f t="shared" si="135"/>
        <v>2.1</v>
      </c>
      <c r="N91" s="239">
        <f t="shared" si="135"/>
        <v>2.1</v>
      </c>
      <c r="O91" s="239">
        <f t="shared" si="135"/>
        <v>2.1</v>
      </c>
      <c r="P91" s="239">
        <f t="shared" si="135"/>
        <v>2.1</v>
      </c>
      <c r="Q91" s="239">
        <f t="shared" si="135"/>
        <v>2.1</v>
      </c>
      <c r="R91" s="239">
        <f t="shared" si="135"/>
        <v>2.1</v>
      </c>
      <c r="S91" s="239">
        <f t="shared" si="135"/>
        <v>2.1</v>
      </c>
      <c r="T91" s="239">
        <f t="shared" si="135"/>
        <v>2.1</v>
      </c>
      <c r="U91" s="239">
        <f t="shared" si="135"/>
        <v>2.1</v>
      </c>
      <c r="V91" s="239">
        <f t="shared" si="135"/>
        <v>2.1</v>
      </c>
      <c r="W91" s="239">
        <f t="shared" si="135"/>
        <v>2.1</v>
      </c>
      <c r="X91" s="239">
        <f t="shared" si="135"/>
        <v>2.1</v>
      </c>
      <c r="Y91" s="239">
        <f t="shared" si="135"/>
        <v>2.1</v>
      </c>
      <c r="Z91" s="239">
        <f t="shared" si="135"/>
        <v>2.1</v>
      </c>
      <c r="AA91" s="239">
        <f t="shared" si="135"/>
        <v>2.1</v>
      </c>
      <c r="AB91" s="239">
        <f t="shared" si="135"/>
        <v>2.1</v>
      </c>
      <c r="AC91" s="239">
        <f t="shared" si="135"/>
        <v>2.1</v>
      </c>
      <c r="AD91" s="239">
        <f t="shared" si="135"/>
        <v>2.1</v>
      </c>
      <c r="AE91" s="239">
        <f t="shared" si="135"/>
        <v>2.1</v>
      </c>
      <c r="AF91" s="239">
        <f t="shared" si="135"/>
        <v>2.1</v>
      </c>
      <c r="AG91" s="239">
        <f t="shared" si="135"/>
        <v>2.1</v>
      </c>
      <c r="AH91" s="239">
        <f t="shared" si="135"/>
        <v>2.1</v>
      </c>
      <c r="AI91" s="239">
        <f t="shared" si="135"/>
        <v>2.1</v>
      </c>
      <c r="AJ91" s="239">
        <f t="shared" si="135"/>
        <v>2.1</v>
      </c>
      <c r="AK91" s="239">
        <f t="shared" si="135"/>
        <v>2.1</v>
      </c>
      <c r="AL91" s="239">
        <f t="shared" si="135"/>
        <v>2.1</v>
      </c>
      <c r="AM91" s="239">
        <f t="shared" si="135"/>
        <v>2.1</v>
      </c>
      <c r="AN91" s="239">
        <f t="shared" si="135"/>
        <v>2.1</v>
      </c>
      <c r="AO91" s="239">
        <f t="shared" si="135"/>
        <v>2.1</v>
      </c>
      <c r="AP91" s="239">
        <f t="shared" si="135"/>
        <v>2.1</v>
      </c>
      <c r="AQ91" s="239">
        <f t="shared" si="135"/>
        <v>2.1</v>
      </c>
      <c r="AR91" s="239">
        <f t="shared" si="135"/>
        <v>2.1</v>
      </c>
      <c r="AS91" s="239">
        <f t="shared" si="135"/>
        <v>2.1</v>
      </c>
      <c r="AT91" s="239">
        <f t="shared" si="135"/>
        <v>2.1</v>
      </c>
      <c r="AU91" s="239">
        <f t="shared" si="135"/>
        <v>2.1</v>
      </c>
      <c r="AV91" s="239">
        <f t="shared" si="135"/>
        <v>2.1</v>
      </c>
      <c r="AW91" s="239">
        <f t="shared" si="135"/>
        <v>2.1</v>
      </c>
      <c r="AX91" s="239">
        <f t="shared" si="135"/>
        <v>2.1</v>
      </c>
      <c r="AY91" s="239">
        <f t="shared" si="135"/>
        <v>2.1</v>
      </c>
      <c r="AZ91" s="239">
        <f t="shared" si="135"/>
        <v>2.1</v>
      </c>
      <c r="BA91" s="239">
        <f t="shared" si="135"/>
        <v>2.1</v>
      </c>
      <c r="BB91" s="239">
        <f t="shared" si="135"/>
        <v>2.1</v>
      </c>
      <c r="BC91" s="239">
        <f t="shared" si="135"/>
        <v>2.1</v>
      </c>
      <c r="BD91" s="239">
        <f t="shared" si="135"/>
        <v>2.1</v>
      </c>
      <c r="BE91" s="239">
        <f t="shared" si="135"/>
        <v>2.1</v>
      </c>
      <c r="BF91" s="239">
        <f t="shared" si="135"/>
        <v>2.1</v>
      </c>
      <c r="BG91" s="239">
        <f t="shared" si="135"/>
        <v>2.1</v>
      </c>
      <c r="BH91" s="239">
        <f t="shared" si="135"/>
        <v>2.1</v>
      </c>
      <c r="BI91" s="239">
        <f t="shared" si="135"/>
        <v>2.1</v>
      </c>
      <c r="BJ91" s="239">
        <f t="shared" si="135"/>
        <v>2.1</v>
      </c>
      <c r="BK91" s="239">
        <f t="shared" si="135"/>
        <v>2.1</v>
      </c>
      <c r="BL91" s="239">
        <f t="shared" si="135"/>
        <v>2.1</v>
      </c>
      <c r="BM91" s="239">
        <f t="shared" si="135"/>
        <v>2.1</v>
      </c>
      <c r="BN91" s="239"/>
      <c r="BO91" s="239">
        <f t="shared" si="128"/>
        <v>125.99999999999986</v>
      </c>
    </row>
    <row r="92" spans="1:73" x14ac:dyDescent="0.2">
      <c r="C92" s="201"/>
      <c r="D92" s="202"/>
      <c r="E92" s="209"/>
      <c r="F92" s="239"/>
      <c r="G92" s="239"/>
      <c r="H92" s="239"/>
      <c r="I92" s="246"/>
      <c r="J92" s="239"/>
      <c r="K92" s="239"/>
      <c r="L92" s="239"/>
      <c r="M92" s="239"/>
      <c r="N92" s="239"/>
      <c r="O92" s="239"/>
      <c r="P92" s="239"/>
      <c r="Q92" s="239"/>
      <c r="R92" s="239"/>
      <c r="S92" s="239"/>
      <c r="T92" s="239"/>
      <c r="U92" s="239"/>
      <c r="V92" s="239"/>
      <c r="W92" s="239"/>
      <c r="X92" s="239"/>
      <c r="Y92" s="239"/>
      <c r="Z92" s="239"/>
      <c r="AA92" s="239"/>
      <c r="AB92" s="239"/>
      <c r="AC92" s="239"/>
      <c r="AD92" s="239"/>
      <c r="AE92" s="239"/>
      <c r="AF92" s="239"/>
      <c r="AG92" s="239"/>
      <c r="AH92" s="239"/>
      <c r="AI92" s="239"/>
      <c r="AJ92" s="239"/>
      <c r="AK92" s="239"/>
      <c r="AL92" s="239"/>
      <c r="AM92" s="239"/>
      <c r="AN92" s="239"/>
      <c r="AO92" s="239"/>
      <c r="AP92" s="239"/>
      <c r="AQ92" s="239"/>
      <c r="AR92" s="239"/>
      <c r="AS92" s="239"/>
      <c r="AT92" s="239"/>
      <c r="AU92" s="239"/>
      <c r="AV92" s="239"/>
      <c r="AW92" s="239"/>
      <c r="AX92" s="239"/>
      <c r="AY92" s="239"/>
      <c r="AZ92" s="239"/>
      <c r="BA92" s="239"/>
      <c r="BB92" s="239"/>
      <c r="BC92" s="239"/>
      <c r="BD92" s="239"/>
      <c r="BE92" s="239"/>
      <c r="BF92" s="239"/>
      <c r="BG92" s="239"/>
      <c r="BH92" s="239"/>
      <c r="BI92" s="239"/>
      <c r="BJ92" s="239"/>
      <c r="BK92" s="239"/>
      <c r="BL92" s="239"/>
      <c r="BM92" s="239"/>
      <c r="BN92" s="239"/>
      <c r="BO92" s="239">
        <f t="shared" si="128"/>
        <v>0</v>
      </c>
    </row>
    <row r="93" spans="1:73" s="1" customFormat="1" x14ac:dyDescent="0.2">
      <c r="A93" s="34"/>
      <c r="B93" s="34"/>
      <c r="C93" s="106" t="s">
        <v>100</v>
      </c>
      <c r="D93" s="35" t="s">
        <v>25</v>
      </c>
      <c r="E93" s="35"/>
      <c r="F93" s="14">
        <f>(F89+F86+F82+F78+F74+F72+F70+F63+F60+F49)*'Вводные данные'!$E$56</f>
        <v>14270.264728571428</v>
      </c>
      <c r="G93" s="14">
        <f>(G89+G86+G82+G78+G74+G72+G70+G63+G60+G49)*'Вводные данные'!$E$56</f>
        <v>12562.416854285715</v>
      </c>
      <c r="H93" s="14">
        <f>(H89+H86+H82+H78+H74+H72+H70+H63+H60+H49)*'Вводные данные'!$E$56</f>
        <v>12641.084633083334</v>
      </c>
      <c r="I93" s="14">
        <f>(I89+I86+I82+I78+I74+I72+I70+I63+I60+I49)*'Вводные данные'!$E$56</f>
        <v>11723.161833071181</v>
      </c>
      <c r="J93" s="14">
        <f>(J89+J86+J82+J78+J74+J72+J70+J63+J60+J49)*'Вводные данные'!$E$56</f>
        <v>11733.532898525644</v>
      </c>
      <c r="K93" s="14">
        <f>(K89+K86+K82+K78+K74+K72+K70+K63+K60+K49)*'Вводные данные'!$E$56</f>
        <v>11743.947176752834</v>
      </c>
      <c r="L93" s="14">
        <f>(L89+L86+L82+L78+L74+L72+L70+L63+L60+L49)*'Вводные данные'!$E$56</f>
        <v>11754.40484780597</v>
      </c>
      <c r="M93" s="14">
        <f>(M89+M86+M82+M78+M74+M72+M70+M63+M60+M49)*'Вводные данные'!$E$56</f>
        <v>11764.906092488496</v>
      </c>
      <c r="N93" s="14">
        <f>(N89+N86+N82+N78+N74+N72+N70+N63+N60+N49)*'Вводные данные'!$E$56</f>
        <v>11775.451092357198</v>
      </c>
      <c r="O93" s="14">
        <f>(O89+O86+O82+O78+O74+O72+O70+O63+O60+O49)*'Вводные данные'!$E$56</f>
        <v>11786.040029725353</v>
      </c>
      <c r="P93" s="14">
        <f>(P89+P86+P82+P78+P74+P72+P70+P63+P60+P49)*'Вводные данные'!$E$56</f>
        <v>11796.673087665875</v>
      </c>
      <c r="Q93" s="14">
        <f>(Q89+Q86+Q82+Q78+Q74+Q72+Q70+Q63+Q60+Q49)*'Вводные данные'!$E$56</f>
        <v>11807.350450014483</v>
      </c>
      <c r="R93" s="14">
        <f>(R89+R86+R82+R78+R74+R72+R70+R63+R60+R49)*'Вводные данные'!$E$56</f>
        <v>12491.632320507162</v>
      </c>
      <c r="S93" s="14">
        <f>(S89+S86+S82+S78+S74+S72+S70+S63+S60+S49)*'Вводные данные'!$E$56</f>
        <v>12554.949398747831</v>
      </c>
      <c r="T93" s="14">
        <f>(T89+T86+T82+T78+T74+T72+T70+T63+T60+T49)*'Вводные данные'!$E$56</f>
        <v>12618.617882402008</v>
      </c>
      <c r="U93" s="14">
        <f>(U89+U86+U82+U78+U74+U72+U70+U63+U60+U49)*'Вводные данные'!$E$56</f>
        <v>12682.639746567062</v>
      </c>
      <c r="V93" s="14">
        <f>(V89+V86+V82+V78+V74+V72+V70+V63+V60+V49)*'Вводные данные'!$E$56</f>
        <v>12747.016977550238</v>
      </c>
      <c r="W93" s="14">
        <f>(W89+W86+W82+W78+W74+W72+W70+W63+W60+W49)*'Вводные данные'!$E$56</f>
        <v>12811.751572932735</v>
      </c>
      <c r="X93" s="14">
        <f>(X89+X86+X82+X78+X74+X72+X70+X63+X60+X49)*'Вводные данные'!$E$56</f>
        <v>12876.845541634188</v>
      </c>
      <c r="Y93" s="14">
        <f>(Y89+Y86+Y82+Y78+Y74+Y72+Y70+Y63+Y60+Y49)*'Вводные данные'!$E$56</f>
        <v>12942.300903977479</v>
      </c>
      <c r="Z93" s="14">
        <f>(Z89+Z86+Z82+Z78+Z74+Z72+Z70+Z63+Z60+Z49)*'Вводные данные'!$E$56</f>
        <v>13008.119691753956</v>
      </c>
      <c r="AA93" s="14">
        <f>(AA89+AA86+AA82+AA78+AA74+AA72+AA70+AA63+AA60+AA49)*'Вводные данные'!$E$56</f>
        <v>13074.303948289002</v>
      </c>
      <c r="AB93" s="14">
        <f>(AB89+AB86+AB82+AB78+AB74+AB72+AB70+AB63+AB60+AB49)*'Вводные данные'!$E$56</f>
        <v>13140.855728508002</v>
      </c>
      <c r="AC93" s="14">
        <f>(AC89+AC86+AC82+AC78+AC74+AC72+AC70+AC63+AC60+AC49)*'Вводные данные'!$E$56</f>
        <v>13207.777099002677</v>
      </c>
      <c r="AD93" s="14">
        <f>(AD89+AD86+AD82+AD78+AD74+AD72+AD70+AD63+AD60+AD49)*'Вводные данные'!$E$56</f>
        <v>13275.070138097781</v>
      </c>
      <c r="AE93" s="14">
        <f>(AE89+AE86+AE82+AE78+AE74+AE72+AE70+AE63+AE60+AE49)*'Вводные данные'!$E$56</f>
        <v>13342.736935918232</v>
      </c>
      <c r="AF93" s="14">
        <f>(AF89+AF86+AF82+AF78+AF74+AF72+AF70+AF63+AF60+AF49)*'Вводные данные'!$E$56</f>
        <v>13410.779594456591</v>
      </c>
      <c r="AG93" s="14">
        <f>(AG89+AG86+AG82+AG78+AG74+AG72+AG70+AG63+AG60+AG49)*'Вводные данные'!$E$56</f>
        <v>13479.20022764092</v>
      </c>
      <c r="AH93" s="14">
        <f>(AH89+AH86+AH82+AH78+AH74+AH72+AH70+AH63+AH60+AH49)*'Вводные данные'!$E$56</f>
        <v>13548.000961403057</v>
      </c>
      <c r="AI93" s="14">
        <f>(AI89+AI86+AI82+AI78+AI74+AI72+AI70+AI63+AI60+AI49)*'Вводные данные'!$E$56</f>
        <v>13617.183933747283</v>
      </c>
      <c r="AJ93" s="14">
        <f>(AJ89+AJ86+AJ82+AJ78+AJ74+AJ72+AJ70+AJ63+AJ60+AJ49)*'Вводные данные'!$E$56</f>
        <v>13686.751294819367</v>
      </c>
      <c r="AK93" s="14">
        <f>(AK89+AK86+AK82+AK78+AK74+AK72+AK70+AK63+AK60+AK49)*'Вводные данные'!$E$56</f>
        <v>13756.705206975996</v>
      </c>
      <c r="AL93" s="14">
        <f>(AL89+AL86+AL82+AL78+AL74+AL72+AL70+AL63+AL60+AL49)*'Вводные данные'!$E$56</f>
        <v>13827.047844854669</v>
      </c>
      <c r="AM93" s="14">
        <f>(AM89+AM86+AM82+AM78+AM74+AM72+AM70+AM63+AM60+AM49)*'Вводные данные'!$E$56</f>
        <v>13897.781395443904</v>
      </c>
      <c r="AN93" s="14">
        <f>(AN89+AN86+AN82+AN78+AN74+AN72+AN70+AN63+AN60+AN49)*'Вводные данные'!$E$56</f>
        <v>13968.908058153915</v>
      </c>
      <c r="AO93" s="14">
        <f>(AO89+AO86+AO82+AO78+AO74+AO72+AO70+AO63+AO60+AO49)*'Вводные данные'!$E$56</f>
        <v>14040.43004488766</v>
      </c>
      <c r="AP93" s="14">
        <f>(AP89+AP86+AP82+AP78+AP74+AP72+AP70+AP63+AP60+AP49)*'Вводные данные'!$E$56</f>
        <v>14748.857643853133</v>
      </c>
      <c r="AQ93" s="14">
        <f>(AQ89+AQ86+AQ82+AQ78+AQ74+AQ72+AQ70+AQ63+AQ60+AQ49)*'Вводные данные'!$E$56</f>
        <v>14824.88992837717</v>
      </c>
      <c r="AR93" s="14">
        <f>(AR89+AR86+AR82+AR78+AR74+AR72+AR70+AR63+AR60+AR49)*'Вводные данные'!$E$56</f>
        <v>14901.345907262048</v>
      </c>
      <c r="AS93" s="14">
        <f>(AS89+AS86+AS82+AS78+AS74+AS72+AS70+AS63+AS60+AS49)*'Вводные данные'!$E$56</f>
        <v>14978.227969444461</v>
      </c>
      <c r="AT93" s="14">
        <f>(AT89+AT86+AT82+AT78+AT74+AT72+AT70+AT63+AT60+AT49)*'Вводные данные'!$E$56</f>
        <v>15055.538517452338</v>
      </c>
      <c r="AU93" s="14">
        <f>(AU89+AU86+AU82+AU78+AU74+AU72+AU70+AU63+AU60+AU49)*'Вводные данные'!$E$56</f>
        <v>15133.279967482707</v>
      </c>
      <c r="AV93" s="14">
        <f>(AV89+AV86+AV82+AV78+AV74+AV72+AV70+AV63+AV60+AV49)*'Вводные данные'!$E$56</f>
        <v>15211.454749479966</v>
      </c>
      <c r="AW93" s="14">
        <f>(AW89+AW86+AW82+AW78+AW74+AW72+AW70+AW63+AW60+AW49)*'Вводные данные'!$E$56</f>
        <v>15290.06530721466</v>
      </c>
      <c r="AX93" s="14">
        <f>(AX89+AX86+AX82+AX78+AX74+AX72+AX70+AX63+AX60+AX49)*'Вводные данные'!$E$56</f>
        <v>15369.114098362645</v>
      </c>
      <c r="AY93" s="14">
        <f>(AY89+AY86+AY82+AY78+AY74+AY72+AY70+AY63+AY60+AY49)*'Вводные данные'!$E$56</f>
        <v>15448.603594584787</v>
      </c>
      <c r="AZ93" s="14">
        <f>(AZ89+AZ86+AZ82+AZ78+AZ74+AZ72+AZ70+AZ63+AZ60+AZ49)*'Вводные данные'!$E$56</f>
        <v>15528.536281607032</v>
      </c>
      <c r="BA93" s="14">
        <f>(BA89+BA86+BA82+BA78+BA74+BA72+BA70+BA63+BA60+BA49)*'Вводные данные'!$E$56</f>
        <v>15608.914659301025</v>
      </c>
      <c r="BB93" s="14">
        <f>(BB89+BB86+BB82+BB78+BB74+BB72+BB70+BB63+BB60+BB49)*'Вводные данные'!$E$56</f>
        <v>16372.262524899377</v>
      </c>
      <c r="BC93" s="14">
        <f>(BC89+BC86+BC82+BC78+BC74+BC72+BC70+BC63+BC60+BC49)*'Вводные данные'!$E$56</f>
        <v>16457.521214691747</v>
      </c>
      <c r="BD93" s="14">
        <f>(BD89+BD86+BD82+BD78+BD74+BD72+BD70+BD63+BD60+BD49)*'Вводные данные'!$E$56</f>
        <v>16543.256405140124</v>
      </c>
      <c r="BE93" s="14">
        <f>(BE89+BE86+BE82+BE78+BE74+BE72+BE70+BE63+BE60+BE49)*'Вводные данные'!$E$56</f>
        <v>16629.470788991232</v>
      </c>
      <c r="BF93" s="14">
        <f>(BF89+BF86+BF82+BF78+BF74+BF72+BF70+BF63+BF60+BF49)*'Вводные данные'!$E$56</f>
        <v>16716.167074337678</v>
      </c>
      <c r="BG93" s="14">
        <f>(BG89+BG86+BG82+BG78+BG74+BG72+BG70+BG63+BG60+BG49)*'Вводные данные'!$E$56</f>
        <v>16803.347984705906</v>
      </c>
      <c r="BH93" s="14">
        <f>(BH89+BH86+BH82+BH78+BH74+BH72+BH70+BH63+BH60+BH49)*'Вводные данные'!$E$56</f>
        <v>16891.016259144762</v>
      </c>
      <c r="BI93" s="14">
        <f>(BI89+BI86+BI82+BI78+BI74+BI72+BI70+BI63+BI60+BI49)*'Вводные данные'!$E$56</f>
        <v>16979.174652314487</v>
      </c>
      <c r="BJ93" s="14">
        <f>(BJ89+BJ86+BJ82+BJ78+BJ74+BJ72+BJ70+BJ63+BJ60+BJ49)*'Вводные данные'!$E$56</f>
        <v>17067.825934576278</v>
      </c>
      <c r="BK93" s="14">
        <f>(BK89+BK86+BK82+BK78+BK74+BK72+BK70+BK63+BK60+BK49)*'Вводные данные'!$E$56</f>
        <v>17156.972892082333</v>
      </c>
      <c r="BL93" s="14">
        <f>(BL89+BL86+BL82+BL78+BL74+BL72+BL70+BL63+BL60+BL49)*'Вводные данные'!$E$56</f>
        <v>17246.618326866428</v>
      </c>
      <c r="BM93" s="14">
        <f>(BM89+BM86+BM82+BM78+BM74+BM72+BM70+BM63+BM60+BM49)*'Вводные данные'!$E$56</f>
        <v>17336.765056935012</v>
      </c>
      <c r="BN93" s="239"/>
      <c r="BO93" s="14">
        <f>SUM(F93:BM93)</f>
        <v>847665.86791172647</v>
      </c>
      <c r="BP93" s="107">
        <f>SUM(F93:Q93)</f>
        <v>145359.23372434752</v>
      </c>
      <c r="BQ93" s="107">
        <f>SUM(R93:AC93)</f>
        <v>154156.81081187236</v>
      </c>
      <c r="BR93" s="107">
        <f>SUM(AD93:AO93)</f>
        <v>163850.59563639935</v>
      </c>
      <c r="BS93" s="107">
        <f>SUM(AP93:BA93)</f>
        <v>182098.82862442199</v>
      </c>
      <c r="BT93" s="107">
        <f>SUM(BB93:BM93)</f>
        <v>202200.39911468537</v>
      </c>
      <c r="BU93" s="107">
        <f>SUM(BP93:BT93)</f>
        <v>847665.86791172659</v>
      </c>
    </row>
    <row r="94" spans="1:73" x14ac:dyDescent="0.2">
      <c r="C94" s="201"/>
      <c r="D94" s="202"/>
      <c r="BN94" s="239"/>
    </row>
    <row r="95" spans="1:73" s="1" customFormat="1" x14ac:dyDescent="0.2">
      <c r="A95" s="34"/>
      <c r="B95" s="34"/>
      <c r="C95" s="106" t="s">
        <v>241</v>
      </c>
      <c r="D95" s="35" t="s">
        <v>25</v>
      </c>
      <c r="E95" s="35"/>
      <c r="F95" s="14">
        <f>F42*F96*F97+F42*F98*F99</f>
        <v>5789.1270000000004</v>
      </c>
      <c r="G95" s="14">
        <f t="shared" ref="G95:I95" si="136">G42*G96*G97+G42*G98*G99</f>
        <v>6893.7024000000001</v>
      </c>
      <c r="H95" s="14">
        <f t="shared" si="136"/>
        <v>7998.2777999999989</v>
      </c>
      <c r="I95" s="14">
        <f t="shared" si="136"/>
        <v>7998.2777999999989</v>
      </c>
      <c r="J95" s="14">
        <f t="shared" ref="J95" si="137">J42*J96*J97+J42*J98*J99</f>
        <v>7998.2777999999989</v>
      </c>
      <c r="K95" s="14">
        <f t="shared" ref="K95:L95" si="138">K42*K96*K97+K42*K98*K99</f>
        <v>7998.2777999999989</v>
      </c>
      <c r="L95" s="14">
        <f t="shared" si="138"/>
        <v>7998.2777999999989</v>
      </c>
      <c r="M95" s="14">
        <f t="shared" ref="M95" si="139">M42*M96*M97+M42*M98*M99</f>
        <v>7998.2777999999989</v>
      </c>
      <c r="N95" s="14">
        <f t="shared" ref="N95:O95" si="140">N42*N96*N97+N42*N98*N99</f>
        <v>7998.2777999999989</v>
      </c>
      <c r="O95" s="14">
        <f t="shared" si="140"/>
        <v>7998.2777999999989</v>
      </c>
      <c r="P95" s="14">
        <f t="shared" ref="P95" si="141">P42*P96*P97+P42*P98*P99</f>
        <v>7998.2777999999989</v>
      </c>
      <c r="Q95" s="14">
        <f t="shared" ref="Q95:R95" si="142">Q42*Q96*Q97+Q42*Q98*Q99</f>
        <v>7998.2777999999989</v>
      </c>
      <c r="R95" s="14">
        <f t="shared" si="142"/>
        <v>9513.8238490000003</v>
      </c>
      <c r="S95" s="14">
        <f t="shared" ref="S95" si="143">S42*S96*S97+S42*S98*S99</f>
        <v>9569.3211547858318</v>
      </c>
      <c r="T95" s="14">
        <f t="shared" ref="T95:U95" si="144">T42*T96*T97+T42*T98*T99</f>
        <v>9625.142194855418</v>
      </c>
      <c r="U95" s="14">
        <f t="shared" si="144"/>
        <v>9681.2888576587429</v>
      </c>
      <c r="V95" s="14">
        <f t="shared" ref="V95" si="145">V42*V96*V97+V42*V98*V99</f>
        <v>9737.7630426617525</v>
      </c>
      <c r="W95" s="14">
        <f t="shared" ref="W95:X95" si="146">W42*W96*W97+W42*W98*W99</f>
        <v>9794.5666604106118</v>
      </c>
      <c r="X95" s="14">
        <f t="shared" si="146"/>
        <v>9851.7016325963396</v>
      </c>
      <c r="Y95" s="14">
        <f t="shared" ref="Y95" si="147">Y42*Y96*Y97+Y42*Y98*Y99</f>
        <v>9909.1698921198204</v>
      </c>
      <c r="Z95" s="14">
        <f t="shared" ref="Z95:AA95" si="148">Z42*Z96*Z97+Z42*Z98*Z99</f>
        <v>9966.9733831571848</v>
      </c>
      <c r="AA95" s="14">
        <f t="shared" si="148"/>
        <v>10025.114061225602</v>
      </c>
      <c r="AB95" s="14">
        <f t="shared" ref="AB95" si="149">AB42*AB96*AB97+AB42*AB98*AB99</f>
        <v>10083.593893249421</v>
      </c>
      <c r="AC95" s="14">
        <f t="shared" ref="AC95:AD95" si="150">AC42*AC96*AC97+AC42*AC98*AC99</f>
        <v>10142.414857626707</v>
      </c>
      <c r="AD95" s="14">
        <f t="shared" si="150"/>
        <v>10201.578944296198</v>
      </c>
      <c r="AE95" s="14">
        <f t="shared" ref="AE95" si="151">AE42*AE96*AE97+AE42*AE98*AE99</f>
        <v>10261.088154804593</v>
      </c>
      <c r="AF95" s="14">
        <f t="shared" ref="AF95:AG95" si="152">AF42*AF96*AF97+AF42*AF98*AF99</f>
        <v>10320.944502374286</v>
      </c>
      <c r="AG95" s="14">
        <f t="shared" si="152"/>
        <v>10381.150011971469</v>
      </c>
      <c r="AH95" s="14">
        <f t="shared" ref="AH95" si="153">AH42*AH96*AH97+AH42*AH98*AH99</f>
        <v>10441.706720374641</v>
      </c>
      <c r="AI95" s="14">
        <f t="shared" ref="AI95:AJ95" si="154">AI42*AI96*AI97+AI42*AI98*AI99</f>
        <v>10502.61667624349</v>
      </c>
      <c r="AJ95" s="14">
        <f t="shared" si="154"/>
        <v>10563.881940188247</v>
      </c>
      <c r="AK95" s="14">
        <f t="shared" ref="AK95" si="155">AK42*AK96*AK97+AK42*AK98*AK99</f>
        <v>10625.504584839342</v>
      </c>
      <c r="AL95" s="14">
        <f t="shared" ref="AL95:AM95" si="156">AL42*AL96*AL97+AL42*AL98*AL99</f>
        <v>10687.48669491757</v>
      </c>
      <c r="AM95" s="14">
        <f t="shared" si="156"/>
        <v>10749.830367304592</v>
      </c>
      <c r="AN95" s="14">
        <f t="shared" ref="AN95" si="157">AN42*AN96*AN97+AN42*AN98*AN99</f>
        <v>10812.53771111387</v>
      </c>
      <c r="AO95" s="14">
        <f t="shared" ref="AO95:AP95" si="158">AO42*AO96*AO97+AO42*AO98*AO99</f>
        <v>10875.610847762036</v>
      </c>
      <c r="AP95" s="14">
        <f t="shared" si="158"/>
        <v>12267.943194341851</v>
      </c>
      <c r="AQ95" s="14">
        <f t="shared" ref="AQ95" si="159">AQ42*AQ96*AQ97+AQ42*AQ98*AQ99</f>
        <v>12339.506196308846</v>
      </c>
      <c r="AR95" s="14">
        <f t="shared" ref="AR95:AS95" si="160">AR42*AR96*AR97+AR42*AR98*AR99</f>
        <v>12411.486649120649</v>
      </c>
      <c r="AS95" s="14">
        <f t="shared" si="160"/>
        <v>12483.886987907186</v>
      </c>
      <c r="AT95" s="14">
        <f t="shared" ref="AT95" si="161">AT42*AT96*AT97+AT42*AT98*AT99</f>
        <v>12556.709662003313</v>
      </c>
      <c r="AU95" s="14">
        <f t="shared" ref="AU95:AV95" si="162">AU42*AU96*AU97+AU42*AU98*AU99</f>
        <v>12629.957135031662</v>
      </c>
      <c r="AV95" s="14">
        <f t="shared" si="162"/>
        <v>12703.631884986016</v>
      </c>
      <c r="AW95" s="14">
        <f t="shared" ref="AW95" si="163">AW42*AW96*AW97+AW42*AW98*AW99</f>
        <v>12777.736404315105</v>
      </c>
      <c r="AX95" s="14">
        <f t="shared" ref="AX95:AY95" si="164">AX42*AX96*AX97+AX42*AX98*AX99</f>
        <v>12852.273200006941</v>
      </c>
      <c r="AY95" s="14">
        <f t="shared" si="164"/>
        <v>12927.244793673648</v>
      </c>
      <c r="AZ95" s="14">
        <f t="shared" ref="AZ95" si="165">AZ42*AZ96*AZ97+AZ42*AZ98*AZ99</f>
        <v>13002.653721636743</v>
      </c>
      <c r="BA95" s="14">
        <f t="shared" ref="BA95:BB95" si="166">BA42*BA96*BA97+BA42*BA98*BA99</f>
        <v>13078.502535012962</v>
      </c>
      <c r="BB95" s="14">
        <f t="shared" si="166"/>
        <v>14579.750741420732</v>
      </c>
      <c r="BC95" s="14">
        <f t="shared" ref="BC95" si="167">BC42*BC96*BC97+BC42*BC98*BC99</f>
        <v>14664.799287412352</v>
      </c>
      <c r="BD95" s="14">
        <f t="shared" ref="BD95:BE95" si="168">BD42*BD96*BD97+BD42*BD98*BD99</f>
        <v>14750.343949922262</v>
      </c>
      <c r="BE95" s="14">
        <f t="shared" si="168"/>
        <v>14836.387622963473</v>
      </c>
      <c r="BF95" s="14">
        <f t="shared" ref="BF95" si="169">BF42*BF96*BF97+BF42*BF98*BF99</f>
        <v>14922.93321743076</v>
      </c>
      <c r="BG95" s="14">
        <f t="shared" ref="BG95:BH95" si="170">BG42*BG96*BG97+BG42*BG98*BG99</f>
        <v>15009.983661199105</v>
      </c>
      <c r="BH95" s="14">
        <f t="shared" si="170"/>
        <v>15097.541899222771</v>
      </c>
      <c r="BI95" s="14">
        <f t="shared" ref="BI95" si="171">BI42*BI96*BI97+BI42*BI98*BI99</f>
        <v>15185.610893634901</v>
      </c>
      <c r="BJ95" s="14">
        <f t="shared" ref="BJ95:BK95" si="172">BJ42*BJ96*BJ97+BJ42*BJ98*BJ99</f>
        <v>15274.193623847772</v>
      </c>
      <c r="BK95" s="14">
        <f t="shared" si="172"/>
        <v>15363.29308665355</v>
      </c>
      <c r="BL95" s="14">
        <f t="shared" ref="BL95" si="173">BL42*BL96*BL97+BL42*BL98*BL99</f>
        <v>15452.912296325696</v>
      </c>
      <c r="BM95" s="14">
        <f t="shared" ref="BM95" si="174">BM42*BM96*BM97+BM42*BM98*BM99</f>
        <v>15543.054284720931</v>
      </c>
      <c r="BN95" s="239">
        <v>0.01</v>
      </c>
      <c r="BO95" s="199">
        <f>SUM(F95:BM95)</f>
        <v>669702.75496463687</v>
      </c>
      <c r="BP95" s="107">
        <f>SUM(F95:Q95)</f>
        <v>92665.607399999979</v>
      </c>
      <c r="BQ95" s="107">
        <f>SUM(R95:AC95)</f>
        <v>117900.87347934741</v>
      </c>
      <c r="BR95" s="107">
        <f>SUM(AD95:AO95)</f>
        <v>126423.93715619034</v>
      </c>
      <c r="BS95" s="107">
        <f>SUM(AP95:BA95)</f>
        <v>152031.53236434489</v>
      </c>
      <c r="BT95" s="107">
        <f>SUM(BB95:BM95)</f>
        <v>180680.8045647543</v>
      </c>
      <c r="BU95" s="107">
        <f>SUM(BP95:BT95)</f>
        <v>669702.75496463687</v>
      </c>
    </row>
    <row r="96" spans="1:73" outlineLevel="1" x14ac:dyDescent="0.2">
      <c r="C96" s="201" t="s">
        <v>113</v>
      </c>
      <c r="D96" s="202" t="s">
        <v>7</v>
      </c>
      <c r="F96" s="239">
        <f>'Вводные данные'!$E$45</f>
        <v>0.3</v>
      </c>
      <c r="G96" s="239">
        <f>'Вводные данные'!$E$45</f>
        <v>0.3</v>
      </c>
      <c r="H96" s="239">
        <f>'Вводные данные'!$E$45</f>
        <v>0.3</v>
      </c>
      <c r="I96" s="239">
        <f>'Вводные данные'!$E$45</f>
        <v>0.3</v>
      </c>
      <c r="J96" s="239">
        <f>'Вводные данные'!$E$45</f>
        <v>0.3</v>
      </c>
      <c r="K96" s="239">
        <f>'Вводные данные'!$E$45</f>
        <v>0.3</v>
      </c>
      <c r="L96" s="239">
        <f>'Вводные данные'!$E$45</f>
        <v>0.3</v>
      </c>
      <c r="M96" s="239">
        <f>'Вводные данные'!$E$45</f>
        <v>0.3</v>
      </c>
      <c r="N96" s="239">
        <f>'Вводные данные'!$E$45</f>
        <v>0.3</v>
      </c>
      <c r="O96" s="239">
        <f>'Вводные данные'!$E$45</f>
        <v>0.3</v>
      </c>
      <c r="P96" s="239">
        <f>'Вводные данные'!$E$45</f>
        <v>0.3</v>
      </c>
      <c r="Q96" s="239">
        <f>'Вводные данные'!$E$45</f>
        <v>0.3</v>
      </c>
      <c r="R96" s="239">
        <f>'Вводные данные'!$E$45</f>
        <v>0.3</v>
      </c>
      <c r="S96" s="239">
        <f>'Вводные данные'!$E$45</f>
        <v>0.3</v>
      </c>
      <c r="T96" s="239">
        <f>'Вводные данные'!$E$45</f>
        <v>0.3</v>
      </c>
      <c r="U96" s="239">
        <f>'Вводные данные'!$E$45</f>
        <v>0.3</v>
      </c>
      <c r="V96" s="239">
        <f>'Вводные данные'!$E$45</f>
        <v>0.3</v>
      </c>
      <c r="W96" s="239">
        <f>'Вводные данные'!$E$45</f>
        <v>0.3</v>
      </c>
      <c r="X96" s="239">
        <f>'Вводные данные'!$E$45</f>
        <v>0.3</v>
      </c>
      <c r="Y96" s="239">
        <f>'Вводные данные'!$E$45</f>
        <v>0.3</v>
      </c>
      <c r="Z96" s="239">
        <f>'Вводные данные'!$E$45</f>
        <v>0.3</v>
      </c>
      <c r="AA96" s="239">
        <f>'Вводные данные'!$E$45</f>
        <v>0.3</v>
      </c>
      <c r="AB96" s="239">
        <f>'Вводные данные'!$E$45</f>
        <v>0.3</v>
      </c>
      <c r="AC96" s="239">
        <f>'Вводные данные'!$E$45</f>
        <v>0.3</v>
      </c>
      <c r="AD96" s="239">
        <f>'Вводные данные'!$E$45</f>
        <v>0.3</v>
      </c>
      <c r="AE96" s="239">
        <f>'Вводные данные'!$E$45</f>
        <v>0.3</v>
      </c>
      <c r="AF96" s="239">
        <f>'Вводные данные'!$E$45</f>
        <v>0.3</v>
      </c>
      <c r="AG96" s="239">
        <f>'Вводные данные'!$E$45</f>
        <v>0.3</v>
      </c>
      <c r="AH96" s="239">
        <f>'Вводные данные'!$E$45</f>
        <v>0.3</v>
      </c>
      <c r="AI96" s="239">
        <f>'Вводные данные'!$E$45</f>
        <v>0.3</v>
      </c>
      <c r="AJ96" s="239">
        <f>'Вводные данные'!$E$45</f>
        <v>0.3</v>
      </c>
      <c r="AK96" s="239">
        <f>'Вводные данные'!$E$45</f>
        <v>0.3</v>
      </c>
      <c r="AL96" s="239">
        <f>'Вводные данные'!$E$45</f>
        <v>0.3</v>
      </c>
      <c r="AM96" s="239">
        <f>'Вводные данные'!$E$45</f>
        <v>0.3</v>
      </c>
      <c r="AN96" s="239">
        <f>'Вводные данные'!$E$45</f>
        <v>0.3</v>
      </c>
      <c r="AO96" s="239">
        <f>'Вводные данные'!$E$45</f>
        <v>0.3</v>
      </c>
      <c r="AP96" s="239">
        <f>'Вводные данные'!$E$45</f>
        <v>0.3</v>
      </c>
      <c r="AQ96" s="239">
        <f>'Вводные данные'!$E$45</f>
        <v>0.3</v>
      </c>
      <c r="AR96" s="239">
        <f>'Вводные данные'!$E$45</f>
        <v>0.3</v>
      </c>
      <c r="AS96" s="239">
        <f>'Вводные данные'!$E$45</f>
        <v>0.3</v>
      </c>
      <c r="AT96" s="239">
        <f>'Вводные данные'!$E$45</f>
        <v>0.3</v>
      </c>
      <c r="AU96" s="239">
        <f>'Вводные данные'!$E$45</f>
        <v>0.3</v>
      </c>
      <c r="AV96" s="239">
        <f>'Вводные данные'!$E$45</f>
        <v>0.3</v>
      </c>
      <c r="AW96" s="239">
        <f>'Вводные данные'!$E$45</f>
        <v>0.3</v>
      </c>
      <c r="AX96" s="239">
        <f>'Вводные данные'!$E$45</f>
        <v>0.3</v>
      </c>
      <c r="AY96" s="239">
        <f>'Вводные данные'!$E$45</f>
        <v>0.3</v>
      </c>
      <c r="AZ96" s="239">
        <f>'Вводные данные'!$E$45</f>
        <v>0.3</v>
      </c>
      <c r="BA96" s="239">
        <f>'Вводные данные'!$E$45</f>
        <v>0.3</v>
      </c>
      <c r="BB96" s="239">
        <f>'Вводные данные'!$E$45</f>
        <v>0.3</v>
      </c>
      <c r="BC96" s="239">
        <f>'Вводные данные'!$E$45</f>
        <v>0.3</v>
      </c>
      <c r="BD96" s="239">
        <f>'Вводные данные'!$E$45</f>
        <v>0.3</v>
      </c>
      <c r="BE96" s="239">
        <f>'Вводные данные'!$E$45</f>
        <v>0.3</v>
      </c>
      <c r="BF96" s="239">
        <f>'Вводные данные'!$E$45</f>
        <v>0.3</v>
      </c>
      <c r="BG96" s="239">
        <f>'Вводные данные'!$E$45</f>
        <v>0.3</v>
      </c>
      <c r="BH96" s="239">
        <f>'Вводные данные'!$E$45</f>
        <v>0.3</v>
      </c>
      <c r="BI96" s="239">
        <f>'Вводные данные'!$E$45</f>
        <v>0.3</v>
      </c>
      <c r="BJ96" s="239">
        <f>'Вводные данные'!$E$45</f>
        <v>0.3</v>
      </c>
      <c r="BK96" s="239">
        <f>'Вводные данные'!$E$45</f>
        <v>0.3</v>
      </c>
      <c r="BL96" s="239">
        <f>'Вводные данные'!$E$45</f>
        <v>0.3</v>
      </c>
      <c r="BM96" s="239">
        <f>'Вводные данные'!$E$45</f>
        <v>0.3</v>
      </c>
      <c r="BN96" s="239">
        <v>0.01</v>
      </c>
      <c r="BO96" s="239"/>
    </row>
    <row r="97" spans="1:73" outlineLevel="1" x14ac:dyDescent="0.2">
      <c r="C97" s="201" t="s">
        <v>116</v>
      </c>
      <c r="D97" s="202" t="s">
        <v>7</v>
      </c>
      <c r="F97" s="306">
        <f>'Вводные данные'!E48</f>
        <v>2.5000000000000001E-2</v>
      </c>
      <c r="G97" s="306">
        <f>F97</f>
        <v>2.5000000000000001E-2</v>
      </c>
      <c r="H97" s="306">
        <f>'Вводные данные'!$E$48</f>
        <v>2.5000000000000001E-2</v>
      </c>
      <c r="I97" s="306">
        <f>'Вводные данные'!$E$48</f>
        <v>2.5000000000000001E-2</v>
      </c>
      <c r="J97" s="306">
        <f>'Вводные данные'!$E$48</f>
        <v>2.5000000000000001E-2</v>
      </c>
      <c r="K97" s="306">
        <f>'Вводные данные'!$E$48</f>
        <v>2.5000000000000001E-2</v>
      </c>
      <c r="L97" s="306">
        <f>'Вводные данные'!$E$48</f>
        <v>2.5000000000000001E-2</v>
      </c>
      <c r="M97" s="306">
        <f>'Вводные данные'!$E$48</f>
        <v>2.5000000000000001E-2</v>
      </c>
      <c r="N97" s="306">
        <f>'Вводные данные'!$E$48</f>
        <v>2.5000000000000001E-2</v>
      </c>
      <c r="O97" s="306">
        <f>'Вводные данные'!$E$48</f>
        <v>2.5000000000000001E-2</v>
      </c>
      <c r="P97" s="306">
        <f>'Вводные данные'!$E$48</f>
        <v>2.5000000000000001E-2</v>
      </c>
      <c r="Q97" s="306">
        <f>'Вводные данные'!$E$48</f>
        <v>2.5000000000000001E-2</v>
      </c>
      <c r="R97" s="306">
        <f>'Вводные данные'!$E$48</f>
        <v>2.5000000000000001E-2</v>
      </c>
      <c r="S97" s="306">
        <f>'Вводные данные'!$E$48</f>
        <v>2.5000000000000001E-2</v>
      </c>
      <c r="T97" s="306">
        <f>'Вводные данные'!$E$48</f>
        <v>2.5000000000000001E-2</v>
      </c>
      <c r="U97" s="306">
        <f>'Вводные данные'!$E$48</f>
        <v>2.5000000000000001E-2</v>
      </c>
      <c r="V97" s="306">
        <f>'Вводные данные'!$E$48</f>
        <v>2.5000000000000001E-2</v>
      </c>
      <c r="W97" s="306">
        <f>'Вводные данные'!$E$48</f>
        <v>2.5000000000000001E-2</v>
      </c>
      <c r="X97" s="306">
        <f>'Вводные данные'!$E$48</f>
        <v>2.5000000000000001E-2</v>
      </c>
      <c r="Y97" s="306">
        <f>'Вводные данные'!$E$48</f>
        <v>2.5000000000000001E-2</v>
      </c>
      <c r="Z97" s="306">
        <f>'Вводные данные'!$E$48</f>
        <v>2.5000000000000001E-2</v>
      </c>
      <c r="AA97" s="306">
        <f>'Вводные данные'!$E$48</f>
        <v>2.5000000000000001E-2</v>
      </c>
      <c r="AB97" s="306">
        <f>'Вводные данные'!$E$48</f>
        <v>2.5000000000000001E-2</v>
      </c>
      <c r="AC97" s="306">
        <f>'Вводные данные'!$E$48</f>
        <v>2.5000000000000001E-2</v>
      </c>
      <c r="AD97" s="306">
        <f>'Вводные данные'!$E$48</f>
        <v>2.5000000000000001E-2</v>
      </c>
      <c r="AE97" s="306">
        <f>'Вводные данные'!$E$48</f>
        <v>2.5000000000000001E-2</v>
      </c>
      <c r="AF97" s="306">
        <f>'Вводные данные'!$E$48</f>
        <v>2.5000000000000001E-2</v>
      </c>
      <c r="AG97" s="306">
        <f>'Вводные данные'!$E$48</f>
        <v>2.5000000000000001E-2</v>
      </c>
      <c r="AH97" s="306">
        <f>'Вводные данные'!$E$48</f>
        <v>2.5000000000000001E-2</v>
      </c>
      <c r="AI97" s="306">
        <f>'Вводные данные'!$E$48</f>
        <v>2.5000000000000001E-2</v>
      </c>
      <c r="AJ97" s="306">
        <f>'Вводные данные'!$E$48</f>
        <v>2.5000000000000001E-2</v>
      </c>
      <c r="AK97" s="306">
        <f>'Вводные данные'!$E$48</f>
        <v>2.5000000000000001E-2</v>
      </c>
      <c r="AL97" s="306">
        <f>'Вводные данные'!$E$48</f>
        <v>2.5000000000000001E-2</v>
      </c>
      <c r="AM97" s="306">
        <f>'Вводные данные'!$E$48</f>
        <v>2.5000000000000001E-2</v>
      </c>
      <c r="AN97" s="306">
        <f>'Вводные данные'!$E$48</f>
        <v>2.5000000000000001E-2</v>
      </c>
      <c r="AO97" s="306">
        <f>'Вводные данные'!$E$48</f>
        <v>2.5000000000000001E-2</v>
      </c>
      <c r="AP97" s="306">
        <f>'Вводные данные'!$E$48</f>
        <v>2.5000000000000001E-2</v>
      </c>
      <c r="AQ97" s="306">
        <f>'Вводные данные'!$E$48</f>
        <v>2.5000000000000001E-2</v>
      </c>
      <c r="AR97" s="306">
        <f>'Вводные данные'!$E$48</f>
        <v>2.5000000000000001E-2</v>
      </c>
      <c r="AS97" s="306">
        <f>'Вводные данные'!$E$48</f>
        <v>2.5000000000000001E-2</v>
      </c>
      <c r="AT97" s="306">
        <f>'Вводные данные'!$E$48</f>
        <v>2.5000000000000001E-2</v>
      </c>
      <c r="AU97" s="306">
        <f>'Вводные данные'!$E$48</f>
        <v>2.5000000000000001E-2</v>
      </c>
      <c r="AV97" s="306">
        <f>'Вводные данные'!$E$48</f>
        <v>2.5000000000000001E-2</v>
      </c>
      <c r="AW97" s="306">
        <f>'Вводные данные'!$E$48</f>
        <v>2.5000000000000001E-2</v>
      </c>
      <c r="AX97" s="306">
        <f>'Вводные данные'!$E$48</f>
        <v>2.5000000000000001E-2</v>
      </c>
      <c r="AY97" s="306">
        <f>'Вводные данные'!$E$48</f>
        <v>2.5000000000000001E-2</v>
      </c>
      <c r="AZ97" s="306">
        <f>'Вводные данные'!$E$48</f>
        <v>2.5000000000000001E-2</v>
      </c>
      <c r="BA97" s="306">
        <f>'Вводные данные'!$E$48</f>
        <v>2.5000000000000001E-2</v>
      </c>
      <c r="BB97" s="306">
        <f>'Вводные данные'!$E$48</f>
        <v>2.5000000000000001E-2</v>
      </c>
      <c r="BC97" s="306">
        <f>'Вводные данные'!$E$48</f>
        <v>2.5000000000000001E-2</v>
      </c>
      <c r="BD97" s="306">
        <f>'Вводные данные'!$E$48</f>
        <v>2.5000000000000001E-2</v>
      </c>
      <c r="BE97" s="306">
        <f>'Вводные данные'!$E$48</f>
        <v>2.5000000000000001E-2</v>
      </c>
      <c r="BF97" s="306">
        <f>'Вводные данные'!$E$48</f>
        <v>2.5000000000000001E-2</v>
      </c>
      <c r="BG97" s="306">
        <f>'Вводные данные'!$E$48</f>
        <v>2.5000000000000001E-2</v>
      </c>
      <c r="BH97" s="306">
        <f>'Вводные данные'!$E$48</f>
        <v>2.5000000000000001E-2</v>
      </c>
      <c r="BI97" s="306">
        <f>'Вводные данные'!$E$48</f>
        <v>2.5000000000000001E-2</v>
      </c>
      <c r="BJ97" s="306">
        <f>'Вводные данные'!$E$48</f>
        <v>2.5000000000000001E-2</v>
      </c>
      <c r="BK97" s="306">
        <f>'Вводные данные'!$E$48</f>
        <v>2.5000000000000001E-2</v>
      </c>
      <c r="BL97" s="306">
        <f>'Вводные данные'!$E$48</f>
        <v>2.5000000000000001E-2</v>
      </c>
      <c r="BM97" s="306">
        <f>'Вводные данные'!$E$48</f>
        <v>2.5000000000000001E-2</v>
      </c>
      <c r="BN97" s="239">
        <v>0.01</v>
      </c>
      <c r="BO97" s="239"/>
    </row>
    <row r="98" spans="1:73" outlineLevel="1" x14ac:dyDescent="0.2">
      <c r="C98" s="302" t="s">
        <v>236</v>
      </c>
      <c r="D98" s="202" t="s">
        <v>7</v>
      </c>
      <c r="F98" s="239">
        <f>'Вводные данные'!E46</f>
        <v>0.45</v>
      </c>
      <c r="G98" s="239">
        <f>F98</f>
        <v>0.45</v>
      </c>
      <c r="H98" s="239">
        <f t="shared" ref="H98:BM98" si="175">G98</f>
        <v>0.45</v>
      </c>
      <c r="I98" s="239">
        <f t="shared" si="175"/>
        <v>0.45</v>
      </c>
      <c r="J98" s="239">
        <f t="shared" si="175"/>
        <v>0.45</v>
      </c>
      <c r="K98" s="239">
        <f t="shared" si="175"/>
        <v>0.45</v>
      </c>
      <c r="L98" s="239">
        <f t="shared" si="175"/>
        <v>0.45</v>
      </c>
      <c r="M98" s="239">
        <f t="shared" si="175"/>
        <v>0.45</v>
      </c>
      <c r="N98" s="239">
        <f t="shared" si="175"/>
        <v>0.45</v>
      </c>
      <c r="O98" s="239">
        <f t="shared" si="175"/>
        <v>0.45</v>
      </c>
      <c r="P98" s="239">
        <f t="shared" si="175"/>
        <v>0.45</v>
      </c>
      <c r="Q98" s="239">
        <f t="shared" si="175"/>
        <v>0.45</v>
      </c>
      <c r="R98" s="239">
        <f t="shared" si="175"/>
        <v>0.45</v>
      </c>
      <c r="S98" s="239">
        <f t="shared" si="175"/>
        <v>0.45</v>
      </c>
      <c r="T98" s="239">
        <f t="shared" si="175"/>
        <v>0.45</v>
      </c>
      <c r="U98" s="239">
        <f t="shared" si="175"/>
        <v>0.45</v>
      </c>
      <c r="V98" s="239">
        <f t="shared" si="175"/>
        <v>0.45</v>
      </c>
      <c r="W98" s="239">
        <f t="shared" si="175"/>
        <v>0.45</v>
      </c>
      <c r="X98" s="239">
        <f t="shared" si="175"/>
        <v>0.45</v>
      </c>
      <c r="Y98" s="239">
        <f t="shared" si="175"/>
        <v>0.45</v>
      </c>
      <c r="Z98" s="239">
        <f t="shared" si="175"/>
        <v>0.45</v>
      </c>
      <c r="AA98" s="239">
        <f t="shared" si="175"/>
        <v>0.45</v>
      </c>
      <c r="AB98" s="239">
        <f t="shared" si="175"/>
        <v>0.45</v>
      </c>
      <c r="AC98" s="239">
        <f t="shared" si="175"/>
        <v>0.45</v>
      </c>
      <c r="AD98" s="239">
        <f t="shared" si="175"/>
        <v>0.45</v>
      </c>
      <c r="AE98" s="239">
        <f t="shared" si="175"/>
        <v>0.45</v>
      </c>
      <c r="AF98" s="239">
        <f t="shared" si="175"/>
        <v>0.45</v>
      </c>
      <c r="AG98" s="239">
        <f t="shared" si="175"/>
        <v>0.45</v>
      </c>
      <c r="AH98" s="239">
        <f t="shared" si="175"/>
        <v>0.45</v>
      </c>
      <c r="AI98" s="239">
        <f t="shared" si="175"/>
        <v>0.45</v>
      </c>
      <c r="AJ98" s="239">
        <f t="shared" si="175"/>
        <v>0.45</v>
      </c>
      <c r="AK98" s="239">
        <f t="shared" si="175"/>
        <v>0.45</v>
      </c>
      <c r="AL98" s="239">
        <f t="shared" si="175"/>
        <v>0.45</v>
      </c>
      <c r="AM98" s="239">
        <f t="shared" si="175"/>
        <v>0.45</v>
      </c>
      <c r="AN98" s="239">
        <f t="shared" si="175"/>
        <v>0.45</v>
      </c>
      <c r="AO98" s="239">
        <f t="shared" si="175"/>
        <v>0.45</v>
      </c>
      <c r="AP98" s="239">
        <f t="shared" si="175"/>
        <v>0.45</v>
      </c>
      <c r="AQ98" s="239">
        <f t="shared" si="175"/>
        <v>0.45</v>
      </c>
      <c r="AR98" s="239">
        <f t="shared" si="175"/>
        <v>0.45</v>
      </c>
      <c r="AS98" s="239">
        <f t="shared" si="175"/>
        <v>0.45</v>
      </c>
      <c r="AT98" s="239">
        <f t="shared" si="175"/>
        <v>0.45</v>
      </c>
      <c r="AU98" s="239">
        <f t="shared" si="175"/>
        <v>0.45</v>
      </c>
      <c r="AV98" s="239">
        <f t="shared" si="175"/>
        <v>0.45</v>
      </c>
      <c r="AW98" s="239">
        <f t="shared" si="175"/>
        <v>0.45</v>
      </c>
      <c r="AX98" s="239">
        <f t="shared" si="175"/>
        <v>0.45</v>
      </c>
      <c r="AY98" s="239">
        <f t="shared" si="175"/>
        <v>0.45</v>
      </c>
      <c r="AZ98" s="239">
        <f t="shared" si="175"/>
        <v>0.45</v>
      </c>
      <c r="BA98" s="239">
        <f t="shared" si="175"/>
        <v>0.45</v>
      </c>
      <c r="BB98" s="239">
        <f t="shared" si="175"/>
        <v>0.45</v>
      </c>
      <c r="BC98" s="239">
        <f t="shared" si="175"/>
        <v>0.45</v>
      </c>
      <c r="BD98" s="239">
        <f t="shared" si="175"/>
        <v>0.45</v>
      </c>
      <c r="BE98" s="239">
        <f t="shared" si="175"/>
        <v>0.45</v>
      </c>
      <c r="BF98" s="239">
        <f t="shared" si="175"/>
        <v>0.45</v>
      </c>
      <c r="BG98" s="239">
        <f t="shared" si="175"/>
        <v>0.45</v>
      </c>
      <c r="BH98" s="239">
        <f t="shared" si="175"/>
        <v>0.45</v>
      </c>
      <c r="BI98" s="239">
        <f t="shared" si="175"/>
        <v>0.45</v>
      </c>
      <c r="BJ98" s="239">
        <f t="shared" si="175"/>
        <v>0.45</v>
      </c>
      <c r="BK98" s="239">
        <f t="shared" si="175"/>
        <v>0.45</v>
      </c>
      <c r="BL98" s="239">
        <f t="shared" si="175"/>
        <v>0.45</v>
      </c>
      <c r="BM98" s="239">
        <f t="shared" si="175"/>
        <v>0.45</v>
      </c>
      <c r="BN98" s="239">
        <v>0.01</v>
      </c>
      <c r="BO98" s="239"/>
    </row>
    <row r="99" spans="1:73" outlineLevel="1" x14ac:dyDescent="0.2">
      <c r="C99" s="302" t="s">
        <v>240</v>
      </c>
      <c r="D99" s="202" t="s">
        <v>7</v>
      </c>
      <c r="F99" s="305">
        <f>'Вводные данные'!E49</f>
        <v>7.0000000000000001E-3</v>
      </c>
      <c r="G99" s="305">
        <f>F99</f>
        <v>7.0000000000000001E-3</v>
      </c>
      <c r="H99" s="305">
        <f t="shared" ref="H99:BM99" si="176">G99</f>
        <v>7.0000000000000001E-3</v>
      </c>
      <c r="I99" s="305">
        <f t="shared" si="176"/>
        <v>7.0000000000000001E-3</v>
      </c>
      <c r="J99" s="305">
        <f t="shared" si="176"/>
        <v>7.0000000000000001E-3</v>
      </c>
      <c r="K99" s="305">
        <f t="shared" si="176"/>
        <v>7.0000000000000001E-3</v>
      </c>
      <c r="L99" s="305">
        <f t="shared" si="176"/>
        <v>7.0000000000000001E-3</v>
      </c>
      <c r="M99" s="305">
        <f t="shared" si="176"/>
        <v>7.0000000000000001E-3</v>
      </c>
      <c r="N99" s="305">
        <f t="shared" si="176"/>
        <v>7.0000000000000001E-3</v>
      </c>
      <c r="O99" s="305">
        <f t="shared" si="176"/>
        <v>7.0000000000000001E-3</v>
      </c>
      <c r="P99" s="305">
        <f t="shared" si="176"/>
        <v>7.0000000000000001E-3</v>
      </c>
      <c r="Q99" s="305">
        <f t="shared" si="176"/>
        <v>7.0000000000000001E-3</v>
      </c>
      <c r="R99" s="305">
        <f t="shared" si="176"/>
        <v>7.0000000000000001E-3</v>
      </c>
      <c r="S99" s="305">
        <f t="shared" si="176"/>
        <v>7.0000000000000001E-3</v>
      </c>
      <c r="T99" s="305">
        <f t="shared" si="176"/>
        <v>7.0000000000000001E-3</v>
      </c>
      <c r="U99" s="305">
        <f t="shared" si="176"/>
        <v>7.0000000000000001E-3</v>
      </c>
      <c r="V99" s="305">
        <f t="shared" si="176"/>
        <v>7.0000000000000001E-3</v>
      </c>
      <c r="W99" s="305">
        <f t="shared" si="176"/>
        <v>7.0000000000000001E-3</v>
      </c>
      <c r="X99" s="305">
        <f t="shared" si="176"/>
        <v>7.0000000000000001E-3</v>
      </c>
      <c r="Y99" s="305">
        <f t="shared" si="176"/>
        <v>7.0000000000000001E-3</v>
      </c>
      <c r="Z99" s="305">
        <f t="shared" si="176"/>
        <v>7.0000000000000001E-3</v>
      </c>
      <c r="AA99" s="305">
        <f t="shared" si="176"/>
        <v>7.0000000000000001E-3</v>
      </c>
      <c r="AB99" s="305">
        <f t="shared" si="176"/>
        <v>7.0000000000000001E-3</v>
      </c>
      <c r="AC99" s="305">
        <f t="shared" si="176"/>
        <v>7.0000000000000001E-3</v>
      </c>
      <c r="AD99" s="305">
        <f t="shared" si="176"/>
        <v>7.0000000000000001E-3</v>
      </c>
      <c r="AE99" s="305">
        <f t="shared" si="176"/>
        <v>7.0000000000000001E-3</v>
      </c>
      <c r="AF99" s="305">
        <f t="shared" si="176"/>
        <v>7.0000000000000001E-3</v>
      </c>
      <c r="AG99" s="305">
        <f t="shared" si="176"/>
        <v>7.0000000000000001E-3</v>
      </c>
      <c r="AH99" s="305">
        <f t="shared" si="176"/>
        <v>7.0000000000000001E-3</v>
      </c>
      <c r="AI99" s="305">
        <f t="shared" si="176"/>
        <v>7.0000000000000001E-3</v>
      </c>
      <c r="AJ99" s="305">
        <f t="shared" si="176"/>
        <v>7.0000000000000001E-3</v>
      </c>
      <c r="AK99" s="305">
        <f t="shared" si="176"/>
        <v>7.0000000000000001E-3</v>
      </c>
      <c r="AL99" s="305">
        <f t="shared" si="176"/>
        <v>7.0000000000000001E-3</v>
      </c>
      <c r="AM99" s="305">
        <f t="shared" si="176"/>
        <v>7.0000000000000001E-3</v>
      </c>
      <c r="AN99" s="305">
        <f t="shared" si="176"/>
        <v>7.0000000000000001E-3</v>
      </c>
      <c r="AO99" s="305">
        <f t="shared" si="176"/>
        <v>7.0000000000000001E-3</v>
      </c>
      <c r="AP99" s="305">
        <f t="shared" si="176"/>
        <v>7.0000000000000001E-3</v>
      </c>
      <c r="AQ99" s="305">
        <f t="shared" si="176"/>
        <v>7.0000000000000001E-3</v>
      </c>
      <c r="AR99" s="305">
        <f t="shared" si="176"/>
        <v>7.0000000000000001E-3</v>
      </c>
      <c r="AS99" s="305">
        <f t="shared" si="176"/>
        <v>7.0000000000000001E-3</v>
      </c>
      <c r="AT99" s="305">
        <f t="shared" si="176"/>
        <v>7.0000000000000001E-3</v>
      </c>
      <c r="AU99" s="305">
        <f t="shared" si="176"/>
        <v>7.0000000000000001E-3</v>
      </c>
      <c r="AV99" s="305">
        <f t="shared" si="176"/>
        <v>7.0000000000000001E-3</v>
      </c>
      <c r="AW99" s="305">
        <f t="shared" si="176"/>
        <v>7.0000000000000001E-3</v>
      </c>
      <c r="AX99" s="305">
        <f t="shared" si="176"/>
        <v>7.0000000000000001E-3</v>
      </c>
      <c r="AY99" s="305">
        <f t="shared" si="176"/>
        <v>7.0000000000000001E-3</v>
      </c>
      <c r="AZ99" s="305">
        <f t="shared" si="176"/>
        <v>7.0000000000000001E-3</v>
      </c>
      <c r="BA99" s="305">
        <f t="shared" si="176"/>
        <v>7.0000000000000001E-3</v>
      </c>
      <c r="BB99" s="305">
        <f t="shared" si="176"/>
        <v>7.0000000000000001E-3</v>
      </c>
      <c r="BC99" s="305">
        <f t="shared" si="176"/>
        <v>7.0000000000000001E-3</v>
      </c>
      <c r="BD99" s="305">
        <f t="shared" si="176"/>
        <v>7.0000000000000001E-3</v>
      </c>
      <c r="BE99" s="305">
        <f t="shared" si="176"/>
        <v>7.0000000000000001E-3</v>
      </c>
      <c r="BF99" s="305">
        <f t="shared" si="176"/>
        <v>7.0000000000000001E-3</v>
      </c>
      <c r="BG99" s="305">
        <f t="shared" si="176"/>
        <v>7.0000000000000001E-3</v>
      </c>
      <c r="BH99" s="305">
        <f t="shared" si="176"/>
        <v>7.0000000000000001E-3</v>
      </c>
      <c r="BI99" s="305">
        <f t="shared" si="176"/>
        <v>7.0000000000000001E-3</v>
      </c>
      <c r="BJ99" s="305">
        <f t="shared" si="176"/>
        <v>7.0000000000000001E-3</v>
      </c>
      <c r="BK99" s="305">
        <f t="shared" si="176"/>
        <v>7.0000000000000001E-3</v>
      </c>
      <c r="BL99" s="305">
        <f t="shared" si="176"/>
        <v>7.0000000000000001E-3</v>
      </c>
      <c r="BM99" s="305">
        <f t="shared" si="176"/>
        <v>7.0000000000000001E-3</v>
      </c>
      <c r="BN99" s="239">
        <v>0.01</v>
      </c>
      <c r="BO99" s="239"/>
    </row>
    <row r="100" spans="1:73" outlineLevel="1" x14ac:dyDescent="0.2">
      <c r="C100" s="201"/>
      <c r="D100" s="202"/>
      <c r="BN100" s="239">
        <v>0.01</v>
      </c>
    </row>
    <row r="101" spans="1:73" s="1" customFormat="1" x14ac:dyDescent="0.2">
      <c r="A101" s="34"/>
      <c r="B101" s="34"/>
      <c r="C101" s="106" t="str">
        <f>'Вводные данные'!C53</f>
        <v>Безопасность (тревожная кнопка)</v>
      </c>
      <c r="D101" s="35" t="s">
        <v>25</v>
      </c>
      <c r="E101" s="35"/>
      <c r="F101" s="14">
        <f>'Вводные данные'!E53</f>
        <v>3000</v>
      </c>
      <c r="G101" s="14">
        <f>F101</f>
        <v>3000</v>
      </c>
      <c r="H101" s="14">
        <f t="shared" ref="H101:BM101" si="177">G101</f>
        <v>3000</v>
      </c>
      <c r="I101" s="14">
        <f t="shared" si="177"/>
        <v>3000</v>
      </c>
      <c r="J101" s="14">
        <f t="shared" si="177"/>
        <v>3000</v>
      </c>
      <c r="K101" s="14">
        <f t="shared" si="177"/>
        <v>3000</v>
      </c>
      <c r="L101" s="14">
        <f t="shared" si="177"/>
        <v>3000</v>
      </c>
      <c r="M101" s="14">
        <f t="shared" si="177"/>
        <v>3000</v>
      </c>
      <c r="N101" s="14">
        <f t="shared" si="177"/>
        <v>3000</v>
      </c>
      <c r="O101" s="14">
        <f t="shared" si="177"/>
        <v>3000</v>
      </c>
      <c r="P101" s="14">
        <f t="shared" si="177"/>
        <v>3000</v>
      </c>
      <c r="Q101" s="14">
        <f t="shared" si="177"/>
        <v>3000</v>
      </c>
      <c r="R101" s="14">
        <f t="shared" si="177"/>
        <v>3000</v>
      </c>
      <c r="S101" s="14">
        <f t="shared" si="177"/>
        <v>3000</v>
      </c>
      <c r="T101" s="14">
        <f t="shared" si="177"/>
        <v>3000</v>
      </c>
      <c r="U101" s="14">
        <f t="shared" si="177"/>
        <v>3000</v>
      </c>
      <c r="V101" s="14">
        <f t="shared" si="177"/>
        <v>3000</v>
      </c>
      <c r="W101" s="14">
        <f t="shared" si="177"/>
        <v>3000</v>
      </c>
      <c r="X101" s="14">
        <f t="shared" si="177"/>
        <v>3000</v>
      </c>
      <c r="Y101" s="14">
        <f t="shared" si="177"/>
        <v>3000</v>
      </c>
      <c r="Z101" s="14">
        <f t="shared" si="177"/>
        <v>3000</v>
      </c>
      <c r="AA101" s="14">
        <f t="shared" si="177"/>
        <v>3000</v>
      </c>
      <c r="AB101" s="14">
        <f t="shared" si="177"/>
        <v>3000</v>
      </c>
      <c r="AC101" s="14">
        <f t="shared" si="177"/>
        <v>3000</v>
      </c>
      <c r="AD101" s="14">
        <f t="shared" si="177"/>
        <v>3000</v>
      </c>
      <c r="AE101" s="14">
        <f t="shared" si="177"/>
        <v>3000</v>
      </c>
      <c r="AF101" s="14">
        <f t="shared" si="177"/>
        <v>3000</v>
      </c>
      <c r="AG101" s="14">
        <f t="shared" si="177"/>
        <v>3000</v>
      </c>
      <c r="AH101" s="14">
        <f t="shared" si="177"/>
        <v>3000</v>
      </c>
      <c r="AI101" s="14">
        <f t="shared" si="177"/>
        <v>3000</v>
      </c>
      <c r="AJ101" s="14">
        <f t="shared" si="177"/>
        <v>3000</v>
      </c>
      <c r="AK101" s="14">
        <f t="shared" si="177"/>
        <v>3000</v>
      </c>
      <c r="AL101" s="14">
        <f t="shared" si="177"/>
        <v>3000</v>
      </c>
      <c r="AM101" s="14">
        <f t="shared" si="177"/>
        <v>3000</v>
      </c>
      <c r="AN101" s="14">
        <f t="shared" si="177"/>
        <v>3000</v>
      </c>
      <c r="AO101" s="14">
        <f t="shared" si="177"/>
        <v>3000</v>
      </c>
      <c r="AP101" s="14">
        <f t="shared" si="177"/>
        <v>3000</v>
      </c>
      <c r="AQ101" s="14">
        <f t="shared" si="177"/>
        <v>3000</v>
      </c>
      <c r="AR101" s="14">
        <f t="shared" si="177"/>
        <v>3000</v>
      </c>
      <c r="AS101" s="14">
        <f t="shared" si="177"/>
        <v>3000</v>
      </c>
      <c r="AT101" s="14">
        <f t="shared" si="177"/>
        <v>3000</v>
      </c>
      <c r="AU101" s="14">
        <f t="shared" si="177"/>
        <v>3000</v>
      </c>
      <c r="AV101" s="14">
        <f t="shared" si="177"/>
        <v>3000</v>
      </c>
      <c r="AW101" s="14">
        <f t="shared" si="177"/>
        <v>3000</v>
      </c>
      <c r="AX101" s="14">
        <f t="shared" si="177"/>
        <v>3000</v>
      </c>
      <c r="AY101" s="14">
        <f t="shared" si="177"/>
        <v>3000</v>
      </c>
      <c r="AZ101" s="14">
        <f t="shared" si="177"/>
        <v>3000</v>
      </c>
      <c r="BA101" s="14">
        <f t="shared" si="177"/>
        <v>3000</v>
      </c>
      <c r="BB101" s="14">
        <f t="shared" si="177"/>
        <v>3000</v>
      </c>
      <c r="BC101" s="14">
        <f t="shared" si="177"/>
        <v>3000</v>
      </c>
      <c r="BD101" s="14">
        <f t="shared" si="177"/>
        <v>3000</v>
      </c>
      <c r="BE101" s="14">
        <f t="shared" si="177"/>
        <v>3000</v>
      </c>
      <c r="BF101" s="14">
        <f t="shared" si="177"/>
        <v>3000</v>
      </c>
      <c r="BG101" s="14">
        <f t="shared" si="177"/>
        <v>3000</v>
      </c>
      <c r="BH101" s="14">
        <f t="shared" si="177"/>
        <v>3000</v>
      </c>
      <c r="BI101" s="14">
        <f t="shared" si="177"/>
        <v>3000</v>
      </c>
      <c r="BJ101" s="14">
        <f t="shared" si="177"/>
        <v>3000</v>
      </c>
      <c r="BK101" s="14">
        <f t="shared" si="177"/>
        <v>3000</v>
      </c>
      <c r="BL101" s="14">
        <f t="shared" si="177"/>
        <v>3000</v>
      </c>
      <c r="BM101" s="14">
        <f t="shared" si="177"/>
        <v>3000</v>
      </c>
      <c r="BN101" s="239"/>
      <c r="BO101" s="14">
        <f>SUM(F101:BM101)</f>
        <v>180000</v>
      </c>
      <c r="BP101" s="107">
        <f>SUM(F101:Q101)</f>
        <v>36000</v>
      </c>
      <c r="BQ101" s="107">
        <f>SUM(R101:AC101)</f>
        <v>36000</v>
      </c>
      <c r="BR101" s="107">
        <f>SUM(AD101:AO101)</f>
        <v>36000</v>
      </c>
      <c r="BS101" s="107">
        <f>SUM(AP101:BA101)</f>
        <v>36000</v>
      </c>
      <c r="BT101" s="107">
        <f>SUM(BB101:BM101)</f>
        <v>36000</v>
      </c>
      <c r="BU101" s="107">
        <f>SUM(BP101:BT101)</f>
        <v>180000</v>
      </c>
    </row>
    <row r="102" spans="1:73" s="1" customFormat="1" x14ac:dyDescent="0.2">
      <c r="A102" s="34"/>
      <c r="B102" s="34"/>
      <c r="C102" s="106" t="str">
        <f>'Вводные данные'!C54</f>
        <v>Бухгалтерское обслуживание</v>
      </c>
      <c r="D102" s="35" t="s">
        <v>25</v>
      </c>
      <c r="E102" s="35"/>
      <c r="F102" s="14">
        <f>'Вводные данные'!E54</f>
        <v>1500</v>
      </c>
      <c r="G102" s="14">
        <f>F102</f>
        <v>1500</v>
      </c>
      <c r="H102" s="14">
        <f t="shared" ref="H102:BM102" si="178">G102</f>
        <v>1500</v>
      </c>
      <c r="I102" s="14">
        <f t="shared" si="178"/>
        <v>1500</v>
      </c>
      <c r="J102" s="14">
        <f t="shared" si="178"/>
        <v>1500</v>
      </c>
      <c r="K102" s="14">
        <f t="shared" si="178"/>
        <v>1500</v>
      </c>
      <c r="L102" s="14">
        <f t="shared" si="178"/>
        <v>1500</v>
      </c>
      <c r="M102" s="14">
        <f t="shared" si="178"/>
        <v>1500</v>
      </c>
      <c r="N102" s="14">
        <f t="shared" si="178"/>
        <v>1500</v>
      </c>
      <c r="O102" s="14">
        <f t="shared" si="178"/>
        <v>1500</v>
      </c>
      <c r="P102" s="14">
        <f t="shared" si="178"/>
        <v>1500</v>
      </c>
      <c r="Q102" s="14">
        <f t="shared" si="178"/>
        <v>1500</v>
      </c>
      <c r="R102" s="14">
        <f t="shared" si="178"/>
        <v>1500</v>
      </c>
      <c r="S102" s="14">
        <f t="shared" si="178"/>
        <v>1500</v>
      </c>
      <c r="T102" s="14">
        <f t="shared" si="178"/>
        <v>1500</v>
      </c>
      <c r="U102" s="14">
        <f t="shared" si="178"/>
        <v>1500</v>
      </c>
      <c r="V102" s="14">
        <f t="shared" si="178"/>
        <v>1500</v>
      </c>
      <c r="W102" s="14">
        <f t="shared" si="178"/>
        <v>1500</v>
      </c>
      <c r="X102" s="14">
        <f t="shared" si="178"/>
        <v>1500</v>
      </c>
      <c r="Y102" s="14">
        <f t="shared" si="178"/>
        <v>1500</v>
      </c>
      <c r="Z102" s="14">
        <f t="shared" si="178"/>
        <v>1500</v>
      </c>
      <c r="AA102" s="14">
        <f t="shared" si="178"/>
        <v>1500</v>
      </c>
      <c r="AB102" s="14">
        <f t="shared" si="178"/>
        <v>1500</v>
      </c>
      <c r="AC102" s="14">
        <f t="shared" si="178"/>
        <v>1500</v>
      </c>
      <c r="AD102" s="14">
        <f t="shared" si="178"/>
        <v>1500</v>
      </c>
      <c r="AE102" s="14">
        <f t="shared" si="178"/>
        <v>1500</v>
      </c>
      <c r="AF102" s="14">
        <f t="shared" si="178"/>
        <v>1500</v>
      </c>
      <c r="AG102" s="14">
        <f t="shared" si="178"/>
        <v>1500</v>
      </c>
      <c r="AH102" s="14">
        <f t="shared" si="178"/>
        <v>1500</v>
      </c>
      <c r="AI102" s="14">
        <f t="shared" si="178"/>
        <v>1500</v>
      </c>
      <c r="AJ102" s="14">
        <f t="shared" si="178"/>
        <v>1500</v>
      </c>
      <c r="AK102" s="14">
        <f t="shared" si="178"/>
        <v>1500</v>
      </c>
      <c r="AL102" s="14">
        <f t="shared" si="178"/>
        <v>1500</v>
      </c>
      <c r="AM102" s="14">
        <f t="shared" si="178"/>
        <v>1500</v>
      </c>
      <c r="AN102" s="14">
        <f t="shared" si="178"/>
        <v>1500</v>
      </c>
      <c r="AO102" s="14">
        <f t="shared" si="178"/>
        <v>1500</v>
      </c>
      <c r="AP102" s="14">
        <f t="shared" si="178"/>
        <v>1500</v>
      </c>
      <c r="AQ102" s="14">
        <f t="shared" si="178"/>
        <v>1500</v>
      </c>
      <c r="AR102" s="14">
        <f t="shared" si="178"/>
        <v>1500</v>
      </c>
      <c r="AS102" s="14">
        <f t="shared" si="178"/>
        <v>1500</v>
      </c>
      <c r="AT102" s="14">
        <f t="shared" si="178"/>
        <v>1500</v>
      </c>
      <c r="AU102" s="14">
        <f t="shared" si="178"/>
        <v>1500</v>
      </c>
      <c r="AV102" s="14">
        <f t="shared" si="178"/>
        <v>1500</v>
      </c>
      <c r="AW102" s="14">
        <f t="shared" si="178"/>
        <v>1500</v>
      </c>
      <c r="AX102" s="14">
        <f t="shared" si="178"/>
        <v>1500</v>
      </c>
      <c r="AY102" s="14">
        <f t="shared" si="178"/>
        <v>1500</v>
      </c>
      <c r="AZ102" s="14">
        <f t="shared" si="178"/>
        <v>1500</v>
      </c>
      <c r="BA102" s="14">
        <f t="shared" si="178"/>
        <v>1500</v>
      </c>
      <c r="BB102" s="14">
        <f t="shared" si="178"/>
        <v>1500</v>
      </c>
      <c r="BC102" s="14">
        <f t="shared" si="178"/>
        <v>1500</v>
      </c>
      <c r="BD102" s="14">
        <f t="shared" si="178"/>
        <v>1500</v>
      </c>
      <c r="BE102" s="14">
        <f t="shared" si="178"/>
        <v>1500</v>
      </c>
      <c r="BF102" s="14">
        <f t="shared" si="178"/>
        <v>1500</v>
      </c>
      <c r="BG102" s="14">
        <f t="shared" si="178"/>
        <v>1500</v>
      </c>
      <c r="BH102" s="14">
        <f t="shared" si="178"/>
        <v>1500</v>
      </c>
      <c r="BI102" s="14">
        <f t="shared" si="178"/>
        <v>1500</v>
      </c>
      <c r="BJ102" s="14">
        <f t="shared" si="178"/>
        <v>1500</v>
      </c>
      <c r="BK102" s="14">
        <f t="shared" si="178"/>
        <v>1500</v>
      </c>
      <c r="BL102" s="14">
        <f t="shared" si="178"/>
        <v>1500</v>
      </c>
      <c r="BM102" s="14">
        <f t="shared" si="178"/>
        <v>1500</v>
      </c>
      <c r="BN102" s="239"/>
      <c r="BO102" s="14">
        <f t="shared" si="128"/>
        <v>90000</v>
      </c>
      <c r="BP102" s="107">
        <f>SUM(F102:Q102)</f>
        <v>18000</v>
      </c>
      <c r="BQ102" s="107">
        <f>SUM(R102:AC102)</f>
        <v>18000</v>
      </c>
      <c r="BR102" s="107">
        <f>SUM(AD102:AO102)</f>
        <v>18000</v>
      </c>
      <c r="BS102" s="107">
        <f>SUM(AP102:BA102)</f>
        <v>18000</v>
      </c>
      <c r="BT102" s="107">
        <f>SUM(BB102:BM102)</f>
        <v>18000</v>
      </c>
      <c r="BU102" s="107">
        <f>SUM(BP102:BT102)</f>
        <v>90000</v>
      </c>
    </row>
    <row r="103" spans="1:73" s="1" customFormat="1" x14ac:dyDescent="0.2">
      <c r="A103" s="34"/>
      <c r="B103" s="34"/>
      <c r="C103" s="106" t="str">
        <f>'Вводные данные'!C55</f>
        <v>Абонентская плата за ПО и мобильное приложение</v>
      </c>
      <c r="D103" s="35" t="s">
        <v>25</v>
      </c>
      <c r="E103" s="35"/>
      <c r="F103" s="14">
        <f>'Вводные данные'!E55</f>
        <v>6600</v>
      </c>
      <c r="G103" s="14">
        <f>F103</f>
        <v>6600</v>
      </c>
      <c r="H103" s="14">
        <f t="shared" ref="H103:BM103" si="179">G103</f>
        <v>6600</v>
      </c>
      <c r="I103" s="14">
        <f t="shared" si="179"/>
        <v>6600</v>
      </c>
      <c r="J103" s="14">
        <f t="shared" si="179"/>
        <v>6600</v>
      </c>
      <c r="K103" s="14">
        <f t="shared" si="179"/>
        <v>6600</v>
      </c>
      <c r="L103" s="14">
        <f t="shared" si="179"/>
        <v>6600</v>
      </c>
      <c r="M103" s="14">
        <f t="shared" si="179"/>
        <v>6600</v>
      </c>
      <c r="N103" s="14">
        <f t="shared" si="179"/>
        <v>6600</v>
      </c>
      <c r="O103" s="14">
        <f t="shared" si="179"/>
        <v>6600</v>
      </c>
      <c r="P103" s="14">
        <f t="shared" si="179"/>
        <v>6600</v>
      </c>
      <c r="Q103" s="14">
        <f t="shared" si="179"/>
        <v>6600</v>
      </c>
      <c r="R103" s="14">
        <f t="shared" si="179"/>
        <v>6600</v>
      </c>
      <c r="S103" s="14">
        <f t="shared" si="179"/>
        <v>6600</v>
      </c>
      <c r="T103" s="14">
        <f t="shared" si="179"/>
        <v>6600</v>
      </c>
      <c r="U103" s="14">
        <f t="shared" si="179"/>
        <v>6600</v>
      </c>
      <c r="V103" s="14">
        <f t="shared" si="179"/>
        <v>6600</v>
      </c>
      <c r="W103" s="14">
        <f t="shared" si="179"/>
        <v>6600</v>
      </c>
      <c r="X103" s="14">
        <f t="shared" si="179"/>
        <v>6600</v>
      </c>
      <c r="Y103" s="14">
        <f t="shared" si="179"/>
        <v>6600</v>
      </c>
      <c r="Z103" s="14">
        <f t="shared" si="179"/>
        <v>6600</v>
      </c>
      <c r="AA103" s="14">
        <f t="shared" si="179"/>
        <v>6600</v>
      </c>
      <c r="AB103" s="14">
        <f t="shared" si="179"/>
        <v>6600</v>
      </c>
      <c r="AC103" s="14">
        <f t="shared" si="179"/>
        <v>6600</v>
      </c>
      <c r="AD103" s="14">
        <f t="shared" si="179"/>
        <v>6600</v>
      </c>
      <c r="AE103" s="14">
        <f t="shared" si="179"/>
        <v>6600</v>
      </c>
      <c r="AF103" s="14">
        <f t="shared" si="179"/>
        <v>6600</v>
      </c>
      <c r="AG103" s="14">
        <f t="shared" si="179"/>
        <v>6600</v>
      </c>
      <c r="AH103" s="14">
        <f t="shared" si="179"/>
        <v>6600</v>
      </c>
      <c r="AI103" s="14">
        <f t="shared" si="179"/>
        <v>6600</v>
      </c>
      <c r="AJ103" s="14">
        <f t="shared" si="179"/>
        <v>6600</v>
      </c>
      <c r="AK103" s="14">
        <f t="shared" si="179"/>
        <v>6600</v>
      </c>
      <c r="AL103" s="14">
        <f t="shared" si="179"/>
        <v>6600</v>
      </c>
      <c r="AM103" s="14">
        <f t="shared" si="179"/>
        <v>6600</v>
      </c>
      <c r="AN103" s="14">
        <f t="shared" si="179"/>
        <v>6600</v>
      </c>
      <c r="AO103" s="14">
        <f t="shared" si="179"/>
        <v>6600</v>
      </c>
      <c r="AP103" s="14">
        <f t="shared" si="179"/>
        <v>6600</v>
      </c>
      <c r="AQ103" s="14">
        <f t="shared" si="179"/>
        <v>6600</v>
      </c>
      <c r="AR103" s="14">
        <f t="shared" si="179"/>
        <v>6600</v>
      </c>
      <c r="AS103" s="14">
        <f t="shared" si="179"/>
        <v>6600</v>
      </c>
      <c r="AT103" s="14">
        <f t="shared" si="179"/>
        <v>6600</v>
      </c>
      <c r="AU103" s="14">
        <f t="shared" si="179"/>
        <v>6600</v>
      </c>
      <c r="AV103" s="14">
        <f t="shared" si="179"/>
        <v>6600</v>
      </c>
      <c r="AW103" s="14">
        <f t="shared" si="179"/>
        <v>6600</v>
      </c>
      <c r="AX103" s="14">
        <f t="shared" si="179"/>
        <v>6600</v>
      </c>
      <c r="AY103" s="14">
        <f t="shared" si="179"/>
        <v>6600</v>
      </c>
      <c r="AZ103" s="14">
        <f t="shared" si="179"/>
        <v>6600</v>
      </c>
      <c r="BA103" s="14">
        <f t="shared" si="179"/>
        <v>6600</v>
      </c>
      <c r="BB103" s="14">
        <f t="shared" si="179"/>
        <v>6600</v>
      </c>
      <c r="BC103" s="14">
        <f t="shared" si="179"/>
        <v>6600</v>
      </c>
      <c r="BD103" s="14">
        <f t="shared" si="179"/>
        <v>6600</v>
      </c>
      <c r="BE103" s="14">
        <f t="shared" si="179"/>
        <v>6600</v>
      </c>
      <c r="BF103" s="14">
        <f t="shared" si="179"/>
        <v>6600</v>
      </c>
      <c r="BG103" s="14">
        <f t="shared" si="179"/>
        <v>6600</v>
      </c>
      <c r="BH103" s="14">
        <f t="shared" si="179"/>
        <v>6600</v>
      </c>
      <c r="BI103" s="14">
        <f t="shared" si="179"/>
        <v>6600</v>
      </c>
      <c r="BJ103" s="14">
        <f t="shared" si="179"/>
        <v>6600</v>
      </c>
      <c r="BK103" s="14">
        <f t="shared" si="179"/>
        <v>6600</v>
      </c>
      <c r="BL103" s="14">
        <f t="shared" si="179"/>
        <v>6600</v>
      </c>
      <c r="BM103" s="14">
        <f t="shared" si="179"/>
        <v>6600</v>
      </c>
      <c r="BN103" s="239"/>
      <c r="BO103" s="14">
        <f>SUM(F103:BM103)</f>
        <v>396000</v>
      </c>
      <c r="BP103" s="107">
        <f>SUM(F103:Q103)</f>
        <v>79200</v>
      </c>
      <c r="BQ103" s="107">
        <f>SUM(R103:AC103)</f>
        <v>79200</v>
      </c>
      <c r="BR103" s="107">
        <f>SUM(AD103:AO103)</f>
        <v>79200</v>
      </c>
      <c r="BS103" s="107">
        <f>SUM(AP103:BA103)</f>
        <v>79200</v>
      </c>
      <c r="BT103" s="107">
        <f>SUM(BB103:BM103)</f>
        <v>79200</v>
      </c>
      <c r="BU103" s="107">
        <f>SUM(BP103:BT103)</f>
        <v>396000</v>
      </c>
    </row>
    <row r="104" spans="1:73" outlineLevel="1" x14ac:dyDescent="0.2">
      <c r="A104" s="247"/>
      <c r="B104" s="247"/>
      <c r="C104" s="196" t="s">
        <v>274</v>
      </c>
      <c r="D104" s="198" t="s">
        <v>25</v>
      </c>
      <c r="E104" s="196"/>
      <c r="F104" s="196">
        <f>F42*'Вводные данные'!$E$58</f>
        <v>9784.4399999999987</v>
      </c>
      <c r="G104" s="196">
        <f>G42*'Вводные данные'!$E$58</f>
        <v>11651.328</v>
      </c>
      <c r="H104" s="196">
        <f>H42*'Вводные данные'!$E$58</f>
        <v>13518.215999999997</v>
      </c>
      <c r="I104" s="196">
        <f>I42*'Вводные данные'!$E$58</f>
        <v>13518.215999999997</v>
      </c>
      <c r="J104" s="196">
        <f>J42*'Вводные данные'!$E$58</f>
        <v>13518.215999999997</v>
      </c>
      <c r="K104" s="196">
        <f>K42*'Вводные данные'!$E$58</f>
        <v>13518.215999999997</v>
      </c>
      <c r="L104" s="196">
        <f>L42*'Вводные данные'!$E$58</f>
        <v>13518.215999999997</v>
      </c>
      <c r="M104" s="196">
        <f>M42*'Вводные данные'!$E$58</f>
        <v>13518.215999999997</v>
      </c>
      <c r="N104" s="196">
        <f>N42*'Вводные данные'!$E$58</f>
        <v>13518.215999999997</v>
      </c>
      <c r="O104" s="196">
        <f>O42*'Вводные данные'!$E$58</f>
        <v>13518.215999999997</v>
      </c>
      <c r="P104" s="196">
        <f>P42*'Вводные данные'!$E$58</f>
        <v>13518.215999999997</v>
      </c>
      <c r="Q104" s="196">
        <f>Q42*'Вводные данные'!$E$58</f>
        <v>13518.215999999997</v>
      </c>
      <c r="R104" s="196">
        <f>R42*'Вводные данные'!$E$58</f>
        <v>16079.70228</v>
      </c>
      <c r="S104" s="196">
        <f>S42*'Вводные данные'!$E$58</f>
        <v>16173.500543299999</v>
      </c>
      <c r="T104" s="196">
        <f>T42*'Вводные данные'!$E$58</f>
        <v>16267.845963135918</v>
      </c>
      <c r="U104" s="196">
        <f>U42*'Вводные данные'!$E$58</f>
        <v>16362.741731254213</v>
      </c>
      <c r="V104" s="196">
        <f>V42*'Вводные данные'!$E$58</f>
        <v>16458.191058019864</v>
      </c>
      <c r="W104" s="196">
        <f>W42*'Вводные данные'!$E$58</f>
        <v>16554.197172524975</v>
      </c>
      <c r="X104" s="196">
        <f>X42*'Вводные данные'!$E$58</f>
        <v>16650.76332269804</v>
      </c>
      <c r="Y104" s="196">
        <f>Y42*'Вводные данные'!$E$58</f>
        <v>16747.892775413777</v>
      </c>
      <c r="Z104" s="196">
        <f>Z42*'Вводные данные'!$E$58</f>
        <v>16845.588816603693</v>
      </c>
      <c r="AA104" s="196">
        <f>AA42*'Вводные данные'!$E$58</f>
        <v>16943.854751367213</v>
      </c>
      <c r="AB104" s="196">
        <f>AB42*'Вводные данные'!$E$58</f>
        <v>17042.693904083524</v>
      </c>
      <c r="AC104" s="196">
        <f>AC42*'Вводные данные'!$E$58</f>
        <v>17142.109618524013</v>
      </c>
      <c r="AD104" s="196">
        <f>AD42*'Вводные данные'!$E$58</f>
        <v>17242.105257965402</v>
      </c>
      <c r="AE104" s="196">
        <f>AE42*'Вводные данные'!$E$58</f>
        <v>17342.684205303533</v>
      </c>
      <c r="AF104" s="196">
        <f>AF42*'Вводные данные'!$E$58</f>
        <v>17443.849863167809</v>
      </c>
      <c r="AG104" s="196">
        <f>AG42*'Вводные данные'!$E$58</f>
        <v>17545.605654036288</v>
      </c>
      <c r="AH104" s="196">
        <f>AH42*'Вводные данные'!$E$58</f>
        <v>17647.955020351503</v>
      </c>
      <c r="AI104" s="196">
        <f>AI42*'Вводные данные'!$E$58</f>
        <v>17750.901424636882</v>
      </c>
      <c r="AJ104" s="196">
        <f>AJ42*'Вводные данные'!$E$58</f>
        <v>17854.448349613936</v>
      </c>
      <c r="AK104" s="196">
        <f>AK42*'Вводные данные'!$E$58</f>
        <v>17958.599298320012</v>
      </c>
      <c r="AL104" s="196">
        <f>AL42*'Вводные данные'!$E$58</f>
        <v>18063.357794226878</v>
      </c>
      <c r="AM104" s="196">
        <f>AM42*'Вводные данные'!$E$58</f>
        <v>18168.727381359873</v>
      </c>
      <c r="AN104" s="196">
        <f>AN42*'Вводные данные'!$E$58</f>
        <v>18274.711624417807</v>
      </c>
      <c r="AO104" s="196">
        <f>AO42*'Вводные данные'!$E$58</f>
        <v>18381.314108893577</v>
      </c>
      <c r="AP104" s="196">
        <f>AP42*'Вводные данные'!$E$58</f>
        <v>20734.551877760874</v>
      </c>
      <c r="AQ104" s="196">
        <f>AQ42*'Вводные данные'!$E$58</f>
        <v>20855.503430381144</v>
      </c>
      <c r="AR104" s="196">
        <f>AR42*'Вводные данные'!$E$58</f>
        <v>20977.160533725037</v>
      </c>
      <c r="AS104" s="196">
        <f>AS42*'Вводные данные'!$E$58</f>
        <v>21099.5273035051</v>
      </c>
      <c r="AT104" s="196">
        <f>AT42*'Вводные данные'!$E$58</f>
        <v>21222.607879442217</v>
      </c>
      <c r="AU104" s="196">
        <f>AU42*'Вводные данные'!$E$58</f>
        <v>21346.406425405625</v>
      </c>
      <c r="AV104" s="196">
        <f>AV42*'Вводные данные'!$E$58</f>
        <v>21470.927129553827</v>
      </c>
      <c r="AW104" s="196">
        <f>AW42*'Вводные данные'!$E$58</f>
        <v>21596.174204476229</v>
      </c>
      <c r="AX104" s="196">
        <f>AX42*'Вводные данные'!$E$58</f>
        <v>21722.151887335673</v>
      </c>
      <c r="AY104" s="196">
        <f>AY42*'Вводные данные'!$E$58</f>
        <v>21848.864440011799</v>
      </c>
      <c r="AZ104" s="196">
        <f>AZ42*'Вводные данные'!$E$58</f>
        <v>21976.316149245198</v>
      </c>
      <c r="BA104" s="196">
        <f>BA42*'Вводные данные'!$E$58</f>
        <v>22104.511326782467</v>
      </c>
      <c r="BB104" s="196">
        <f>BB42*'Вводные данные'!$E$58</f>
        <v>24641.832239020954</v>
      </c>
      <c r="BC104" s="196">
        <f>BC42*'Вводные данные'!$E$58</f>
        <v>24785.576260415241</v>
      </c>
      <c r="BD104" s="196">
        <f>BD42*'Вводные данные'!$E$58</f>
        <v>24930.158788601002</v>
      </c>
      <c r="BE104" s="196">
        <f>BE42*'Вводные данные'!$E$58</f>
        <v>25075.58471486784</v>
      </c>
      <c r="BF104" s="196">
        <f>BF42*'Вводные данные'!$E$58</f>
        <v>25221.858959037898</v>
      </c>
      <c r="BG104" s="196">
        <f>BG42*'Вводные данные'!$E$58</f>
        <v>25368.986469632284</v>
      </c>
      <c r="BH104" s="196">
        <f>BH42*'Вводные данные'!$E$58</f>
        <v>25516.972224038484</v>
      </c>
      <c r="BI104" s="196">
        <f>BI42*'Вводные данные'!$E$58</f>
        <v>25665.821228678702</v>
      </c>
      <c r="BJ104" s="196">
        <f>BJ42*'Вводные данные'!$E$58</f>
        <v>25815.538519179328</v>
      </c>
      <c r="BK104" s="196">
        <f>BK42*'Вводные данные'!$E$58</f>
        <v>25966.129160541208</v>
      </c>
      <c r="BL104" s="196">
        <f>BL42*'Вводные данные'!$E$58</f>
        <v>26117.598247311031</v>
      </c>
      <c r="BM104" s="196">
        <f>BM42*'Вводные данные'!$E$58</f>
        <v>26269.950903753681</v>
      </c>
      <c r="BN104" s="239"/>
      <c r="BO104" s="14">
        <f>SUM(F104:BM104)</f>
        <v>1131891.9802219218</v>
      </c>
      <c r="BP104" s="107">
        <f t="shared" ref="BP104" si="180">SUM(F104:Q104)</f>
        <v>156617.92799999999</v>
      </c>
      <c r="BQ104" s="107">
        <f t="shared" ref="BQ104:BQ106" si="181">SUM(R104:AC104)</f>
        <v>199269.08193692521</v>
      </c>
      <c r="BR104" s="107">
        <f t="shared" ref="BR104:BR106" si="182">SUM(AD104:AO104)</f>
        <v>213674.25998229347</v>
      </c>
      <c r="BS104" s="107">
        <f t="shared" ref="BS104:BS106" si="183">SUM(AP104:BA104)</f>
        <v>256954.70258762519</v>
      </c>
      <c r="BT104" s="107">
        <f t="shared" ref="BT104:BT106" si="184">SUM(BB104:BM104)</f>
        <v>305376.00771507766</v>
      </c>
      <c r="BU104" s="107">
        <f t="shared" ref="BU104:BU106" si="185">SUM(BP104:BT104)</f>
        <v>1131891.9802219216</v>
      </c>
    </row>
    <row r="105" spans="1:73" outlineLevel="1" x14ac:dyDescent="0.2">
      <c r="A105" s="247"/>
      <c r="B105" s="247"/>
      <c r="C105" s="196" t="s">
        <v>251</v>
      </c>
      <c r="D105" s="198" t="s">
        <v>25</v>
      </c>
      <c r="E105" s="196"/>
      <c r="F105" s="199">
        <f>IF(F10&lt;='Вводные данные'!$E$79*12,'Вводные данные'!$E$82,0)</f>
        <v>0</v>
      </c>
      <c r="G105" s="199">
        <f>IF(G10&lt;='Вводные данные'!$E$79*12,'Вводные данные'!$E$82,0)</f>
        <v>0</v>
      </c>
      <c r="H105" s="199">
        <f>IF(H10&lt;='Вводные данные'!$E$79*12,'Вводные данные'!$E$82,0)</f>
        <v>0</v>
      </c>
      <c r="I105" s="199">
        <f>IF(I10&lt;='Вводные данные'!$E$79*12,'Вводные данные'!$E$82,0)</f>
        <v>0</v>
      </c>
      <c r="J105" s="199">
        <f>IF(J10&lt;='Вводные данные'!$E$79*12,'Вводные данные'!$E$82,0)</f>
        <v>0</v>
      </c>
      <c r="K105" s="199">
        <f>IF(K10&lt;='Вводные данные'!$E$79*12,'Вводные данные'!$E$82,0)</f>
        <v>0</v>
      </c>
      <c r="L105" s="199">
        <f>IF(L10&lt;='Вводные данные'!$E$79*12,'Вводные данные'!$E$82,0)</f>
        <v>0</v>
      </c>
      <c r="M105" s="199">
        <f>IF(M10&lt;='Вводные данные'!$E$79*12,'Вводные данные'!$E$82,0)</f>
        <v>0</v>
      </c>
      <c r="N105" s="199">
        <f>IF(N10&lt;='Вводные данные'!$E$79*12,'Вводные данные'!$E$82,0)</f>
        <v>0</v>
      </c>
      <c r="O105" s="199">
        <f>IF(O10&lt;='Вводные данные'!$E$79*12,'Вводные данные'!$E$82,0)</f>
        <v>0</v>
      </c>
      <c r="P105" s="199">
        <f>IF(P10&lt;='Вводные данные'!$E$79*12,'Вводные данные'!$E$82,0)</f>
        <v>0</v>
      </c>
      <c r="Q105" s="199">
        <f>IF(Q10&lt;='Вводные данные'!$E$79*12,'Вводные данные'!$E$82,0)</f>
        <v>0</v>
      </c>
      <c r="R105" s="199">
        <f>IF(R10&lt;='Вводные данные'!$E$79*12,'Вводные данные'!$E$82,0)</f>
        <v>0</v>
      </c>
      <c r="S105" s="199">
        <f>IF(S10&lt;='Вводные данные'!$E$79*12,'Вводные данные'!$E$82,0)</f>
        <v>0</v>
      </c>
      <c r="T105" s="199">
        <f>IF(T10&lt;='Вводные данные'!$E$79*12,'Вводные данные'!$E$82,0)</f>
        <v>0</v>
      </c>
      <c r="U105" s="199">
        <f>IF(U10&lt;='Вводные данные'!$E$79*12,'Вводные данные'!$E$82,0)</f>
        <v>0</v>
      </c>
      <c r="V105" s="199">
        <f>IF(V10&lt;='Вводные данные'!$E$79*12,'Вводные данные'!$E$82,0)</f>
        <v>0</v>
      </c>
      <c r="W105" s="199">
        <f>IF(W10&lt;='Вводные данные'!$E$79*12,'Вводные данные'!$E$82,0)</f>
        <v>0</v>
      </c>
      <c r="X105" s="199">
        <f>IF(X10&lt;='Вводные данные'!$E$79*12,'Вводные данные'!$E$82,0)</f>
        <v>0</v>
      </c>
      <c r="Y105" s="199">
        <f>IF(Y10&lt;='Вводные данные'!$E$79*12,'Вводные данные'!$E$82,0)</f>
        <v>0</v>
      </c>
      <c r="Z105" s="199">
        <f>IF(Z10&lt;='Вводные данные'!$E$79*12,'Вводные данные'!$E$82,0)</f>
        <v>0</v>
      </c>
      <c r="AA105" s="199">
        <f>IF(AA10&lt;='Вводные данные'!$E$79*12,'Вводные данные'!$E$82,0)</f>
        <v>0</v>
      </c>
      <c r="AB105" s="199">
        <f>IF(AB10&lt;='Вводные данные'!$E$79*12,'Вводные данные'!$E$82,0)</f>
        <v>0</v>
      </c>
      <c r="AC105" s="199">
        <f>IF(AC10&lt;='Вводные данные'!$E$79*12,'Вводные данные'!$E$82,0)</f>
        <v>0</v>
      </c>
      <c r="AD105" s="199">
        <f>IF(AD10&lt;='Вводные данные'!$E$79*12,'Вводные данные'!$E$82,0)</f>
        <v>0</v>
      </c>
      <c r="AE105" s="199">
        <f>IF(AE10&lt;='Вводные данные'!$E$79*12,'Вводные данные'!$E$82,0)</f>
        <v>0</v>
      </c>
      <c r="AF105" s="199">
        <f>IF(AF10&lt;='Вводные данные'!$E$79*12,'Вводные данные'!$E$82,0)</f>
        <v>0</v>
      </c>
      <c r="AG105" s="199">
        <f>IF(AG10&lt;='Вводные данные'!$E$79*12,'Вводные данные'!$E$82,0)</f>
        <v>0</v>
      </c>
      <c r="AH105" s="199">
        <f>IF(AH10&lt;='Вводные данные'!$E$79*12,'Вводные данные'!$E$82,0)</f>
        <v>0</v>
      </c>
      <c r="AI105" s="199">
        <f>IF(AI10&lt;='Вводные данные'!$E$79*12,'Вводные данные'!$E$82,0)</f>
        <v>0</v>
      </c>
      <c r="AJ105" s="199">
        <f>IF(AJ10&lt;='Вводные данные'!$E$79*12,'Вводные данные'!$E$82,0)</f>
        <v>0</v>
      </c>
      <c r="AK105" s="199">
        <f>IF(AK10&lt;='Вводные данные'!$E$79*12,'Вводные данные'!$E$82,0)</f>
        <v>0</v>
      </c>
      <c r="AL105" s="199">
        <f>IF(AL10&lt;='Вводные данные'!$E$79*12,'Вводные данные'!$E$82,0)</f>
        <v>0</v>
      </c>
      <c r="AM105" s="199">
        <f>IF(AM10&lt;='Вводные данные'!$E$79*12,'Вводные данные'!$E$82,0)</f>
        <v>0</v>
      </c>
      <c r="AN105" s="199">
        <f>IF(AN10&lt;='Вводные данные'!$E$79*12,'Вводные данные'!$E$82,0)</f>
        <v>0</v>
      </c>
      <c r="AO105" s="199">
        <f>IF(AO10&lt;='Вводные данные'!$E$79*12,'Вводные данные'!$E$82,0)</f>
        <v>0</v>
      </c>
      <c r="AP105" s="199">
        <f>IF(AP10&lt;='Вводные данные'!$E$79*12,'Вводные данные'!$E$82,0)</f>
        <v>0</v>
      </c>
      <c r="AQ105" s="199">
        <f>IF(AQ10&lt;='Вводные данные'!$E$79*12,'Вводные данные'!$E$82,0)</f>
        <v>0</v>
      </c>
      <c r="AR105" s="199">
        <f>IF(AR10&lt;='Вводные данные'!$E$79*12,'Вводные данные'!$E$82,0)</f>
        <v>0</v>
      </c>
      <c r="AS105" s="199">
        <f>IF(AS10&lt;='Вводные данные'!$E$79*12,'Вводные данные'!$E$82,0)</f>
        <v>0</v>
      </c>
      <c r="AT105" s="199">
        <f>IF(AT10&lt;='Вводные данные'!$E$79*12,'Вводные данные'!$E$82,0)</f>
        <v>0</v>
      </c>
      <c r="AU105" s="199">
        <f>IF(AU10&lt;='Вводные данные'!$E$79*12,'Вводные данные'!$E$82,0)</f>
        <v>0</v>
      </c>
      <c r="AV105" s="199">
        <f>IF(AV10&lt;='Вводные данные'!$E$79*12,'Вводные данные'!$E$82,0)</f>
        <v>0</v>
      </c>
      <c r="AW105" s="199">
        <f>IF(AW10&lt;='Вводные данные'!$E$79*12,'Вводные данные'!$E$82,0)</f>
        <v>0</v>
      </c>
      <c r="AX105" s="199">
        <f>IF(AX10&lt;='Вводные данные'!$E$79*12,'Вводные данные'!$E$82,0)</f>
        <v>0</v>
      </c>
      <c r="AY105" s="199">
        <f>IF(AY10&lt;='Вводные данные'!$E$79*12,'Вводные данные'!$E$82,0)</f>
        <v>0</v>
      </c>
      <c r="AZ105" s="199">
        <f>IF(AZ10&lt;='Вводные данные'!$E$79*12,'Вводные данные'!$E$82,0)</f>
        <v>0</v>
      </c>
      <c r="BA105" s="199">
        <f>IF(BA10&lt;='Вводные данные'!$E$79*12,'Вводные данные'!$E$82,0)</f>
        <v>0</v>
      </c>
      <c r="BB105" s="199">
        <f>IF(BB10&lt;='Вводные данные'!$E$79*12,'Вводные данные'!$E$82,0)</f>
        <v>0</v>
      </c>
      <c r="BC105" s="199">
        <f>IF(BC10&lt;='Вводные данные'!$E$79*12,'Вводные данные'!$E$82,0)</f>
        <v>0</v>
      </c>
      <c r="BD105" s="199">
        <f>IF(BD10&lt;='Вводные данные'!$E$79*12,'Вводные данные'!$E$82,0)</f>
        <v>0</v>
      </c>
      <c r="BE105" s="199">
        <f>IF(BE10&lt;='Вводные данные'!$E$79*12,'Вводные данные'!$E$82,0)</f>
        <v>0</v>
      </c>
      <c r="BF105" s="199">
        <f>IF(BF10&lt;='Вводные данные'!$E$79*12,'Вводные данные'!$E$82,0)</f>
        <v>0</v>
      </c>
      <c r="BG105" s="199">
        <f>IF(BG10&lt;='Вводные данные'!$E$79*12,'Вводные данные'!$E$82,0)</f>
        <v>0</v>
      </c>
      <c r="BH105" s="199">
        <f>IF(BH10&lt;='Вводные данные'!$E$79*12,'Вводные данные'!$E$82,0)</f>
        <v>0</v>
      </c>
      <c r="BI105" s="199">
        <f>IF(BI10&lt;='Вводные данные'!$E$79*12,'Вводные данные'!$E$82,0)</f>
        <v>0</v>
      </c>
      <c r="BJ105" s="199">
        <f>IF(BJ10&lt;='Вводные данные'!$E$79*12,'Вводные данные'!$E$82,0)</f>
        <v>0</v>
      </c>
      <c r="BK105" s="199">
        <f>IF(BK10&lt;='Вводные данные'!$E$79*12,'Вводные данные'!$E$82,0)</f>
        <v>0</v>
      </c>
      <c r="BL105" s="199">
        <f>IF(BL10&lt;='Вводные данные'!$E$79*12,'Вводные данные'!$E$82,0)</f>
        <v>0</v>
      </c>
      <c r="BM105" s="199">
        <f>IF(BM10&lt;='Вводные данные'!$E$79*12,'Вводные данные'!$E$82,0)</f>
        <v>0</v>
      </c>
      <c r="BN105" s="239"/>
      <c r="BO105" s="14">
        <f>SUM(F105:BM105)</f>
        <v>0</v>
      </c>
      <c r="BP105" s="107">
        <f t="shared" ref="BP105" si="186">SUM(F105:Q105)</f>
        <v>0</v>
      </c>
      <c r="BQ105" s="107">
        <f t="shared" ref="BQ105" si="187">SUM(R105:AC105)</f>
        <v>0</v>
      </c>
      <c r="BR105" s="107">
        <f t="shared" ref="BR105" si="188">SUM(AD105:AO105)</f>
        <v>0</v>
      </c>
      <c r="BS105" s="107">
        <f t="shared" ref="BS105" si="189">SUM(AP105:BA105)</f>
        <v>0</v>
      </c>
      <c r="BT105" s="107">
        <f t="shared" ref="BT105" si="190">SUM(BB105:BM105)</f>
        <v>0</v>
      </c>
      <c r="BU105" s="107">
        <f t="shared" ref="BU105" si="191">SUM(BP105:BT105)</f>
        <v>0</v>
      </c>
    </row>
    <row r="106" spans="1:73" outlineLevel="1" x14ac:dyDescent="0.2">
      <c r="A106" s="247"/>
      <c r="B106" s="247"/>
      <c r="C106" s="196" t="str">
        <f>'Вводные данные'!C64</f>
        <v>Доп. поле  расходов</v>
      </c>
      <c r="D106" s="198" t="s">
        <v>25</v>
      </c>
      <c r="E106" s="196"/>
      <c r="F106" s="196">
        <f>'Вводные данные'!E64</f>
        <v>0</v>
      </c>
      <c r="G106" s="196">
        <f>F106</f>
        <v>0</v>
      </c>
      <c r="H106" s="196">
        <f t="shared" ref="H106:BM106" si="192">G106</f>
        <v>0</v>
      </c>
      <c r="I106" s="196">
        <f t="shared" si="192"/>
        <v>0</v>
      </c>
      <c r="J106" s="196">
        <f t="shared" si="192"/>
        <v>0</v>
      </c>
      <c r="K106" s="196">
        <f t="shared" si="192"/>
        <v>0</v>
      </c>
      <c r="L106" s="196">
        <f t="shared" si="192"/>
        <v>0</v>
      </c>
      <c r="M106" s="196">
        <f t="shared" si="192"/>
        <v>0</v>
      </c>
      <c r="N106" s="196">
        <f t="shared" si="192"/>
        <v>0</v>
      </c>
      <c r="O106" s="196">
        <f t="shared" si="192"/>
        <v>0</v>
      </c>
      <c r="P106" s="196">
        <f t="shared" si="192"/>
        <v>0</v>
      </c>
      <c r="Q106" s="196">
        <f t="shared" si="192"/>
        <v>0</v>
      </c>
      <c r="R106" s="196">
        <f t="shared" si="192"/>
        <v>0</v>
      </c>
      <c r="S106" s="196">
        <f t="shared" si="192"/>
        <v>0</v>
      </c>
      <c r="T106" s="196">
        <f t="shared" si="192"/>
        <v>0</v>
      </c>
      <c r="U106" s="196">
        <f t="shared" si="192"/>
        <v>0</v>
      </c>
      <c r="V106" s="196">
        <f t="shared" si="192"/>
        <v>0</v>
      </c>
      <c r="W106" s="196">
        <f t="shared" si="192"/>
        <v>0</v>
      </c>
      <c r="X106" s="196">
        <f t="shared" si="192"/>
        <v>0</v>
      </c>
      <c r="Y106" s="196">
        <f t="shared" si="192"/>
        <v>0</v>
      </c>
      <c r="Z106" s="196">
        <f t="shared" si="192"/>
        <v>0</v>
      </c>
      <c r="AA106" s="196">
        <f t="shared" si="192"/>
        <v>0</v>
      </c>
      <c r="AB106" s="196">
        <f t="shared" si="192"/>
        <v>0</v>
      </c>
      <c r="AC106" s="196">
        <f t="shared" si="192"/>
        <v>0</v>
      </c>
      <c r="AD106" s="196">
        <f t="shared" si="192"/>
        <v>0</v>
      </c>
      <c r="AE106" s="196">
        <f t="shared" si="192"/>
        <v>0</v>
      </c>
      <c r="AF106" s="196">
        <f t="shared" si="192"/>
        <v>0</v>
      </c>
      <c r="AG106" s="196">
        <f t="shared" si="192"/>
        <v>0</v>
      </c>
      <c r="AH106" s="196">
        <f t="shared" si="192"/>
        <v>0</v>
      </c>
      <c r="AI106" s="196">
        <f t="shared" si="192"/>
        <v>0</v>
      </c>
      <c r="AJ106" s="196">
        <f t="shared" si="192"/>
        <v>0</v>
      </c>
      <c r="AK106" s="196">
        <f t="shared" si="192"/>
        <v>0</v>
      </c>
      <c r="AL106" s="196">
        <f t="shared" si="192"/>
        <v>0</v>
      </c>
      <c r="AM106" s="196">
        <f t="shared" si="192"/>
        <v>0</v>
      </c>
      <c r="AN106" s="196">
        <f t="shared" si="192"/>
        <v>0</v>
      </c>
      <c r="AO106" s="196">
        <f t="shared" si="192"/>
        <v>0</v>
      </c>
      <c r="AP106" s="196">
        <f t="shared" si="192"/>
        <v>0</v>
      </c>
      <c r="AQ106" s="196">
        <f t="shared" si="192"/>
        <v>0</v>
      </c>
      <c r="AR106" s="196">
        <f t="shared" si="192"/>
        <v>0</v>
      </c>
      <c r="AS106" s="196">
        <f t="shared" si="192"/>
        <v>0</v>
      </c>
      <c r="AT106" s="196">
        <f t="shared" si="192"/>
        <v>0</v>
      </c>
      <c r="AU106" s="196">
        <f t="shared" si="192"/>
        <v>0</v>
      </c>
      <c r="AV106" s="196">
        <f t="shared" si="192"/>
        <v>0</v>
      </c>
      <c r="AW106" s="196">
        <f t="shared" si="192"/>
        <v>0</v>
      </c>
      <c r="AX106" s="196">
        <f t="shared" si="192"/>
        <v>0</v>
      </c>
      <c r="AY106" s="196">
        <f t="shared" si="192"/>
        <v>0</v>
      </c>
      <c r="AZ106" s="196">
        <f t="shared" si="192"/>
        <v>0</v>
      </c>
      <c r="BA106" s="196">
        <f t="shared" si="192"/>
        <v>0</v>
      </c>
      <c r="BB106" s="196">
        <f t="shared" si="192"/>
        <v>0</v>
      </c>
      <c r="BC106" s="196">
        <f t="shared" si="192"/>
        <v>0</v>
      </c>
      <c r="BD106" s="196">
        <f t="shared" si="192"/>
        <v>0</v>
      </c>
      <c r="BE106" s="196">
        <f t="shared" si="192"/>
        <v>0</v>
      </c>
      <c r="BF106" s="196">
        <f t="shared" si="192"/>
        <v>0</v>
      </c>
      <c r="BG106" s="196">
        <f t="shared" si="192"/>
        <v>0</v>
      </c>
      <c r="BH106" s="196">
        <f t="shared" si="192"/>
        <v>0</v>
      </c>
      <c r="BI106" s="196">
        <f t="shared" si="192"/>
        <v>0</v>
      </c>
      <c r="BJ106" s="196">
        <f t="shared" si="192"/>
        <v>0</v>
      </c>
      <c r="BK106" s="196">
        <f t="shared" si="192"/>
        <v>0</v>
      </c>
      <c r="BL106" s="196">
        <f t="shared" si="192"/>
        <v>0</v>
      </c>
      <c r="BM106" s="196">
        <f t="shared" si="192"/>
        <v>0</v>
      </c>
      <c r="BN106" s="239"/>
      <c r="BO106" s="14">
        <f t="shared" ref="BO106" si="193">SUM(F106:BM106)</f>
        <v>0</v>
      </c>
      <c r="BP106" s="107">
        <f>SUM(F106:Q106)</f>
        <v>0</v>
      </c>
      <c r="BQ106" s="107">
        <f t="shared" si="181"/>
        <v>0</v>
      </c>
      <c r="BR106" s="107">
        <f t="shared" si="182"/>
        <v>0</v>
      </c>
      <c r="BS106" s="107">
        <f t="shared" si="183"/>
        <v>0</v>
      </c>
      <c r="BT106" s="107">
        <f t="shared" si="184"/>
        <v>0</v>
      </c>
      <c r="BU106" s="107">
        <f t="shared" si="185"/>
        <v>0</v>
      </c>
    </row>
    <row r="107" spans="1:73" outlineLevel="1" x14ac:dyDescent="0.2">
      <c r="BN107" s="239"/>
    </row>
    <row r="108" spans="1:73" outlineLevel="1" x14ac:dyDescent="0.2">
      <c r="BN108" s="239"/>
      <c r="BO108" s="229">
        <f>BO106+BO104+BO103+BO102+BO101+BO95+BO93+BO105</f>
        <v>3315260.6030982854</v>
      </c>
      <c r="BP108" s="229">
        <f t="shared" ref="BP108:BU108" si="194">BP106+BP104+BP103+BP102+BP101+BP95+BP93+BP105</f>
        <v>527842.76912434748</v>
      </c>
      <c r="BQ108" s="229">
        <f t="shared" si="194"/>
        <v>604526.76622814499</v>
      </c>
      <c r="BR108" s="229">
        <f t="shared" si="194"/>
        <v>637148.7927748831</v>
      </c>
      <c r="BS108" s="229">
        <f t="shared" si="194"/>
        <v>724285.06357639201</v>
      </c>
      <c r="BT108" s="229">
        <f t="shared" si="194"/>
        <v>821457.21139451733</v>
      </c>
      <c r="BU108" s="229">
        <f t="shared" si="194"/>
        <v>3315260.6030982849</v>
      </c>
    </row>
    <row r="109" spans="1:73" outlineLevel="1" x14ac:dyDescent="0.2">
      <c r="BN109" s="239"/>
    </row>
    <row r="110" spans="1:73" outlineLevel="1" x14ac:dyDescent="0.2">
      <c r="C110" s="4"/>
      <c r="BN110" s="239"/>
    </row>
    <row r="111" spans="1:73" s="44" customFormat="1" ht="15.75" thickBot="1" x14ac:dyDescent="0.25">
      <c r="A111" s="17"/>
      <c r="B111" s="17"/>
      <c r="C111" s="17" t="s">
        <v>149</v>
      </c>
      <c r="D111" s="38" t="s">
        <v>25</v>
      </c>
      <c r="E111" s="17"/>
      <c r="F111" s="18">
        <f>F49+F60+F63+F70+F72+F74+F78+F82+F86+F89+F93+F101+F102+F103+F95+F55+F104+F105+F106</f>
        <v>516619.32268095232</v>
      </c>
      <c r="G111" s="18">
        <f t="shared" ref="G111:BM111" si="195">G49+G60+G63+G70+G72+G74+G78+G82+G86+G89+G93+G101+G102+G103+G95+G55+G104+G105+G106</f>
        <v>460954.67573047621</v>
      </c>
      <c r="H111" s="18">
        <f t="shared" si="195"/>
        <v>466627.06620252773</v>
      </c>
      <c r="I111" s="18">
        <f t="shared" si="195"/>
        <v>435111.71673544392</v>
      </c>
      <c r="J111" s="18">
        <f t="shared" si="195"/>
        <v>435467.78998271376</v>
      </c>
      <c r="K111" s="18">
        <f t="shared" si="195"/>
        <v>435825.34686851391</v>
      </c>
      <c r="L111" s="18">
        <f t="shared" si="195"/>
        <v>436184.39357467165</v>
      </c>
      <c r="M111" s="18">
        <f t="shared" si="195"/>
        <v>436544.93630877172</v>
      </c>
      <c r="N111" s="18">
        <f t="shared" si="195"/>
        <v>436906.98130426381</v>
      </c>
      <c r="O111" s="18">
        <f t="shared" si="195"/>
        <v>437270.53482057038</v>
      </c>
      <c r="P111" s="18">
        <f t="shared" si="195"/>
        <v>437635.60314319504</v>
      </c>
      <c r="Q111" s="18">
        <f t="shared" si="195"/>
        <v>438002.1925838305</v>
      </c>
      <c r="R111" s="18">
        <f t="shared" si="195"/>
        <v>465572.90246641258</v>
      </c>
      <c r="S111" s="18">
        <f t="shared" si="195"/>
        <v>467896.08438842802</v>
      </c>
      <c r="T111" s="18">
        <f t="shared" si="195"/>
        <v>470232.2021204604</v>
      </c>
      <c r="U111" s="18">
        <f t="shared" si="195"/>
        <v>472581.32855438214</v>
      </c>
      <c r="V111" s="18">
        <f t="shared" si="195"/>
        <v>474943.53699657315</v>
      </c>
      <c r="W111" s="18">
        <f t="shared" si="195"/>
        <v>477318.90117029287</v>
      </c>
      <c r="X111" s="18">
        <f t="shared" si="195"/>
        <v>479707.49521806813</v>
      </c>
      <c r="Y111" s="18">
        <f t="shared" si="195"/>
        <v>482109.3937040937</v>
      </c>
      <c r="Z111" s="18">
        <f t="shared" si="195"/>
        <v>484524.67161664664</v>
      </c>
      <c r="AA111" s="18">
        <f t="shared" si="195"/>
        <v>486953.40437051532</v>
      </c>
      <c r="AB111" s="18">
        <f t="shared" si="195"/>
        <v>489395.66780944105</v>
      </c>
      <c r="AC111" s="18">
        <f t="shared" si="195"/>
        <v>491851.53820857592</v>
      </c>
      <c r="AD111" s="18">
        <f t="shared" si="195"/>
        <v>494321.09227695211</v>
      </c>
      <c r="AE111" s="18">
        <f t="shared" si="195"/>
        <v>496804.40715996752</v>
      </c>
      <c r="AF111" s="18">
        <f t="shared" si="195"/>
        <v>499301.56044188509</v>
      </c>
      <c r="AG111" s="18">
        <f t="shared" si="195"/>
        <v>501812.63014834601</v>
      </c>
      <c r="AH111" s="18">
        <f t="shared" si="195"/>
        <v>504337.69474889786</v>
      </c>
      <c r="AI111" s="18">
        <f t="shared" si="195"/>
        <v>506876.83315953729</v>
      </c>
      <c r="AJ111" s="18">
        <f t="shared" si="195"/>
        <v>509430.12474526704</v>
      </c>
      <c r="AK111" s="18">
        <f t="shared" si="195"/>
        <v>511997.64932266867</v>
      </c>
      <c r="AL111" s="18">
        <f t="shared" si="195"/>
        <v>514579.48716248822</v>
      </c>
      <c r="AM111" s="18">
        <f t="shared" si="195"/>
        <v>517175.71899223863</v>
      </c>
      <c r="AN111" s="18">
        <f t="shared" si="195"/>
        <v>519786.42599881615</v>
      </c>
      <c r="AO111" s="18">
        <f t="shared" si="195"/>
        <v>522411.68983113207</v>
      </c>
      <c r="AP111" s="18">
        <f t="shared" si="195"/>
        <v>550479.94084439368</v>
      </c>
      <c r="AQ111" s="18">
        <f t="shared" si="195"/>
        <v>553282.89716763946</v>
      </c>
      <c r="AR111" s="18">
        <f t="shared" si="195"/>
        <v>556101.52333217603</v>
      </c>
      <c r="AS111" s="18">
        <f t="shared" si="195"/>
        <v>558935.90790900553</v>
      </c>
      <c r="AT111" s="18">
        <f t="shared" si="195"/>
        <v>561786.13997397583</v>
      </c>
      <c r="AU111" s="18">
        <f t="shared" si="195"/>
        <v>564652.30911067699</v>
      </c>
      <c r="AV111" s="18">
        <f t="shared" si="195"/>
        <v>567534.50541335228</v>
      </c>
      <c r="AW111" s="18">
        <f t="shared" si="195"/>
        <v>570432.81948982785</v>
      </c>
      <c r="AX111" s="18">
        <f t="shared" si="195"/>
        <v>573347.34246446018</v>
      </c>
      <c r="AY111" s="18">
        <f t="shared" si="195"/>
        <v>576278.16598109633</v>
      </c>
      <c r="AZ111" s="18">
        <f t="shared" si="195"/>
        <v>579225.38220605685</v>
      </c>
      <c r="BA111" s="18">
        <f t="shared" si="195"/>
        <v>582189.08383113076</v>
      </c>
      <c r="BB111" s="18">
        <f t="shared" si="195"/>
        <v>612435.92966865376</v>
      </c>
      <c r="BC111" s="18">
        <f t="shared" si="195"/>
        <v>615591.93725224456</v>
      </c>
      <c r="BD111" s="18">
        <f t="shared" si="195"/>
        <v>618765.63931500085</v>
      </c>
      <c r="BE111" s="18">
        <f t="shared" si="195"/>
        <v>621957.13609319716</v>
      </c>
      <c r="BF111" s="18">
        <f t="shared" si="195"/>
        <v>625166.52839539561</v>
      </c>
      <c r="BG111" s="18">
        <f t="shared" si="195"/>
        <v>628393.9176057342</v>
      </c>
      <c r="BH111" s="18">
        <f t="shared" si="195"/>
        <v>631639.40568723145</v>
      </c>
      <c r="BI111" s="18">
        <f t="shared" si="195"/>
        <v>634903.09518511104</v>
      </c>
      <c r="BJ111" s="18">
        <f t="shared" si="195"/>
        <v>638185.08923014614</v>
      </c>
      <c r="BK111" s="18">
        <f t="shared" si="195"/>
        <v>641485.49154202151</v>
      </c>
      <c r="BL111" s="18">
        <f t="shared" si="195"/>
        <v>644804.40643271746</v>
      </c>
      <c r="BM111" s="18">
        <f t="shared" si="195"/>
        <v>648141.93880990997</v>
      </c>
      <c r="BN111" s="239"/>
      <c r="BO111" s="18">
        <f t="shared" si="128"/>
        <v>31570789.533489179</v>
      </c>
      <c r="BP111" s="18">
        <f>SUM(F111:Q111)</f>
        <v>5373150.5599359302</v>
      </c>
      <c r="BQ111" s="18">
        <f>SUM(R111:AC111)</f>
        <v>5743087.1266238894</v>
      </c>
      <c r="BR111" s="18">
        <f>SUM(AD111:AO111)</f>
        <v>6098835.3139881976</v>
      </c>
      <c r="BS111" s="18">
        <f>SUM(AP111:BA111)</f>
        <v>6794246.0177237922</v>
      </c>
      <c r="BT111" s="18">
        <f>SUM(BB111:BM111)</f>
        <v>7561470.5152173638</v>
      </c>
      <c r="BU111" s="18">
        <f>SUM(BP111:BT111)</f>
        <v>31570789.533489171</v>
      </c>
    </row>
    <row r="112" spans="1:73" hidden="1" outlineLevel="1" x14ac:dyDescent="0.2">
      <c r="BN112" s="239"/>
      <c r="BO112" s="225">
        <f t="shared" si="128"/>
        <v>0</v>
      </c>
      <c r="BP112" s="113" t="e">
        <f>BP49+BP55+BP60+BP63+BP70+BP72+BP74+BP78+BP82+BP86+BP89+BP93+BP95+#REF!+BP101+BP102+BP103+#REF!</f>
        <v>#REF!</v>
      </c>
      <c r="BQ112" s="113" t="e">
        <f>BQ49+BQ55+BQ60+BQ63+BQ70+BQ72+BQ74+BQ78+BQ82+BQ86+BQ89+BQ93+BQ95+#REF!+BQ101+BQ102+BQ103+#REF!</f>
        <v>#REF!</v>
      </c>
      <c r="BR112" s="113" t="e">
        <f>BR49+BR55+BR60+BR63+BR70+BR72+BR74+BR78+BR82+BR86+BR89+BR93+BR95+#REF!+BR101+BR102+BR103+#REF!</f>
        <v>#REF!</v>
      </c>
      <c r="BS112" s="113" t="e">
        <f>BS49+BS55+BS60+BS63+BS70+BS72+BS74+BS78+BS82+BS86+BS89+BS93+BS95+#REF!+BS101+BS102+BS103+#REF!</f>
        <v>#REF!</v>
      </c>
      <c r="BT112" s="113" t="e">
        <f>BT49+BT55+BT60+BT63+BT70+BT72+BT74+BT78+BT82+BT86+BT89+BT93+BT95+#REF!+BT101+BT102+BT103+#REF!</f>
        <v>#REF!</v>
      </c>
      <c r="BU112" s="113" t="e">
        <f>BU49+BU55+BU60+BU63+BU70+BU72+BU74+BU78+BU82+BU86+BU89+BU93+BU95+#REF!+BU101+BU102+BU103+#REF!</f>
        <v>#REF!</v>
      </c>
    </row>
    <row r="113" spans="1:73" collapsed="1" x14ac:dyDescent="0.2"/>
    <row r="114" spans="1:73" s="345" customFormat="1" ht="15.75" thickBot="1" x14ac:dyDescent="0.25">
      <c r="A114" s="340"/>
      <c r="B114" s="340"/>
      <c r="C114" s="341" t="s">
        <v>223</v>
      </c>
      <c r="D114" s="342" t="s">
        <v>25</v>
      </c>
      <c r="E114" s="342"/>
      <c r="F114" s="343">
        <f t="shared" ref="F114:AK114" si="196">F42-F111</f>
        <v>26960.677319047682</v>
      </c>
      <c r="G114" s="343">
        <f t="shared" si="196"/>
        <v>186341.32426952379</v>
      </c>
      <c r="H114" s="343">
        <f t="shared" si="196"/>
        <v>284384.93379747216</v>
      </c>
      <c r="I114" s="343">
        <f t="shared" si="196"/>
        <v>315900.28326455597</v>
      </c>
      <c r="J114" s="343">
        <f t="shared" si="196"/>
        <v>315544.21001728612</v>
      </c>
      <c r="K114" s="343">
        <f t="shared" si="196"/>
        <v>315186.65313148597</v>
      </c>
      <c r="L114" s="343">
        <f t="shared" si="196"/>
        <v>314827.60642532824</v>
      </c>
      <c r="M114" s="343">
        <f t="shared" si="196"/>
        <v>314467.06369122816</v>
      </c>
      <c r="N114" s="343">
        <f t="shared" si="196"/>
        <v>314105.01869573607</v>
      </c>
      <c r="O114" s="343">
        <f t="shared" si="196"/>
        <v>313741.46517942951</v>
      </c>
      <c r="P114" s="343">
        <f t="shared" si="196"/>
        <v>313376.39685680484</v>
      </c>
      <c r="Q114" s="343">
        <f t="shared" si="196"/>
        <v>313009.80741616938</v>
      </c>
      <c r="R114" s="343">
        <f t="shared" si="196"/>
        <v>427743.89086692076</v>
      </c>
      <c r="S114" s="343">
        <f t="shared" si="196"/>
        <v>430631.72357268305</v>
      </c>
      <c r="T114" s="343">
        <f t="shared" si="196"/>
        <v>433537.01805375732</v>
      </c>
      <c r="U114" s="343">
        <f t="shared" si="196"/>
        <v>436459.87873751862</v>
      </c>
      <c r="V114" s="343">
        <f t="shared" si="196"/>
        <v>439400.41067119705</v>
      </c>
      <c r="W114" s="343">
        <f t="shared" si="196"/>
        <v>442358.7195255392</v>
      </c>
      <c r="X114" s="343">
        <f t="shared" si="196"/>
        <v>445334.91159848962</v>
      </c>
      <c r="Y114" s="343">
        <f t="shared" si="196"/>
        <v>448329.09381889406</v>
      </c>
      <c r="Z114" s="343">
        <f t="shared" si="196"/>
        <v>451341.37375022523</v>
      </c>
      <c r="AA114" s="343">
        <f t="shared" si="196"/>
        <v>454371.8595943299</v>
      </c>
      <c r="AB114" s="343">
        <f t="shared" si="196"/>
        <v>457420.66019519925</v>
      </c>
      <c r="AC114" s="343">
        <f t="shared" si="196"/>
        <v>460487.88504275819</v>
      </c>
      <c r="AD114" s="343">
        <f t="shared" si="196"/>
        <v>463573.64427668147</v>
      </c>
      <c r="AE114" s="343">
        <f t="shared" si="196"/>
        <v>466678.0486902289</v>
      </c>
      <c r="AF114" s="343">
        <f t="shared" si="196"/>
        <v>469801.20973410428</v>
      </c>
      <c r="AG114" s="343">
        <f t="shared" si="196"/>
        <v>472943.23952033668</v>
      </c>
      <c r="AH114" s="343">
        <f t="shared" si="196"/>
        <v>476104.25082618574</v>
      </c>
      <c r="AI114" s="343">
        <f t="shared" si="196"/>
        <v>479284.35709806741</v>
      </c>
      <c r="AJ114" s="343">
        <f t="shared" si="196"/>
        <v>482483.67245550727</v>
      </c>
      <c r="AK114" s="343">
        <f t="shared" si="196"/>
        <v>485702.31169510994</v>
      </c>
      <c r="AL114" s="343">
        <f t="shared" ref="AL114:BM114" si="197">AL42-AL111</f>
        <v>488940.39029456076</v>
      </c>
      <c r="AM114" s="343">
        <f t="shared" si="197"/>
        <v>492198.02441664319</v>
      </c>
      <c r="AN114" s="343">
        <f t="shared" si="197"/>
        <v>495475.33091328421</v>
      </c>
      <c r="AO114" s="343">
        <f t="shared" si="197"/>
        <v>498772.42732962233</v>
      </c>
      <c r="AP114" s="343">
        <f t="shared" si="197"/>
        <v>601439.6079200994</v>
      </c>
      <c r="AQ114" s="343">
        <f t="shared" si="197"/>
        <v>605356.18229797983</v>
      </c>
      <c r="AR114" s="343">
        <f t="shared" si="197"/>
        <v>609296.28409699281</v>
      </c>
      <c r="AS114" s="343">
        <f t="shared" si="197"/>
        <v>613260.05339683348</v>
      </c>
      <c r="AT114" s="343">
        <f t="shared" si="197"/>
        <v>617247.63110614743</v>
      </c>
      <c r="AU114" s="343">
        <f t="shared" si="197"/>
        <v>621259.15896741336</v>
      </c>
      <c r="AV114" s="343">
        <f t="shared" si="197"/>
        <v>625294.77956186049</v>
      </c>
      <c r="AW114" s="343">
        <f t="shared" si="197"/>
        <v>629354.63631440722</v>
      </c>
      <c r="AX114" s="343">
        <f t="shared" si="197"/>
        <v>633438.87349863292</v>
      </c>
      <c r="AY114" s="343">
        <f t="shared" si="197"/>
        <v>637547.63624178141</v>
      </c>
      <c r="AZ114" s="343">
        <f t="shared" si="197"/>
        <v>641681.07052978768</v>
      </c>
      <c r="BA114" s="343">
        <f t="shared" si="197"/>
        <v>645839.32321233978</v>
      </c>
      <c r="BB114" s="343">
        <f t="shared" si="197"/>
        <v>756554.75027695484</v>
      </c>
      <c r="BC114" s="343">
        <f t="shared" si="197"/>
        <v>761384.52165971335</v>
      </c>
      <c r="BD114" s="343">
        <f t="shared" si="197"/>
        <v>766243.18227394379</v>
      </c>
      <c r="BE114" s="343">
        <f t="shared" si="197"/>
        <v>771130.9036216829</v>
      </c>
      <c r="BF114" s="343">
        <f t="shared" si="197"/>
        <v>776047.85821782111</v>
      </c>
      <c r="BG114" s="343">
        <f t="shared" si="197"/>
        <v>780994.21959605953</v>
      </c>
      <c r="BH114" s="343">
        <f t="shared" si="197"/>
        <v>785970.1623149066</v>
      </c>
      <c r="BI114" s="343">
        <f t="shared" si="197"/>
        <v>790975.86196370586</v>
      </c>
      <c r="BJ114" s="343">
        <f t="shared" si="197"/>
        <v>796011.49516870559</v>
      </c>
      <c r="BK114" s="343">
        <f t="shared" si="197"/>
        <v>801077.23959915689</v>
      </c>
      <c r="BL114" s="343">
        <f t="shared" si="197"/>
        <v>806173.27397345111</v>
      </c>
      <c r="BM114" s="343">
        <f t="shared" si="197"/>
        <v>811299.77806529461</v>
      </c>
      <c r="BN114" s="344"/>
      <c r="BO114" s="343">
        <f t="shared" si="128"/>
        <v>31312098.256617583</v>
      </c>
      <c r="BP114" s="343">
        <f>SUM(F114:Q114)</f>
        <v>3327845.440064068</v>
      </c>
      <c r="BQ114" s="343">
        <f>SUM(R114:AC114)</f>
        <v>5327417.4254275113</v>
      </c>
      <c r="BR114" s="343">
        <f>SUM(AD114:AO114)</f>
        <v>5771956.9072503326</v>
      </c>
      <c r="BS114" s="343">
        <f>SUM(AP114:BA114)</f>
        <v>7481015.2371442756</v>
      </c>
      <c r="BT114" s="343">
        <f>SUM(BB114:BM114)</f>
        <v>9403863.2467313968</v>
      </c>
      <c r="BU114" s="343">
        <f>SUM(BP114:BT114)</f>
        <v>31312098.256617587</v>
      </c>
    </row>
    <row r="115" spans="1:73" ht="15.75" outlineLevel="1" thickTop="1" x14ac:dyDescent="0.2">
      <c r="C115" s="263" t="s">
        <v>224</v>
      </c>
      <c r="F115" s="232">
        <f t="shared" ref="F115:AK115" si="198">F114/F42</f>
        <v>4.9598361453783588E-2</v>
      </c>
      <c r="G115" s="232">
        <f t="shared" si="198"/>
        <v>0.28787652676599851</v>
      </c>
      <c r="H115" s="232">
        <f t="shared" si="198"/>
        <v>0.37866896107848103</v>
      </c>
      <c r="I115" s="232">
        <f t="shared" si="198"/>
        <v>0.42063280382278317</v>
      </c>
      <c r="J115" s="232">
        <f t="shared" si="198"/>
        <v>0.42015867924518674</v>
      </c>
      <c r="K115" s="232">
        <f t="shared" si="198"/>
        <v>0.41968257914851698</v>
      </c>
      <c r="L115" s="232">
        <f t="shared" si="198"/>
        <v>0.41920449530144432</v>
      </c>
      <c r="M115" s="232">
        <f t="shared" si="198"/>
        <v>0.41872441943834215</v>
      </c>
      <c r="N115" s="232">
        <f t="shared" si="198"/>
        <v>0.41824234325914383</v>
      </c>
      <c r="O115" s="232">
        <f t="shared" si="198"/>
        <v>0.41775825842919895</v>
      </c>
      <c r="P115" s="232">
        <f t="shared" si="198"/>
        <v>0.41727215657912908</v>
      </c>
      <c r="Q115" s="238">
        <f t="shared" si="198"/>
        <v>0.41678402930468411</v>
      </c>
      <c r="R115" s="232">
        <f t="shared" si="198"/>
        <v>0.47882665372362687</v>
      </c>
      <c r="S115" s="232">
        <f t="shared" si="198"/>
        <v>0.47926365745969335</v>
      </c>
      <c r="T115" s="232">
        <f t="shared" si="198"/>
        <v>0.47969880847478441</v>
      </c>
      <c r="U115" s="232">
        <f t="shared" si="198"/>
        <v>0.48013211638421105</v>
      </c>
      <c r="V115" s="232">
        <f t="shared" si="198"/>
        <v>0.48056359074939115</v>
      </c>
      <c r="W115" s="232">
        <f t="shared" si="198"/>
        <v>0.48099324107816027</v>
      </c>
      <c r="X115" s="232">
        <f t="shared" si="198"/>
        <v>0.48142107682507856</v>
      </c>
      <c r="Y115" s="232">
        <f t="shared" si="198"/>
        <v>0.48184710739173658</v>
      </c>
      <c r="Z115" s="232">
        <f t="shared" si="198"/>
        <v>0.48227134212705991</v>
      </c>
      <c r="AA115" s="232">
        <f t="shared" si="198"/>
        <v>0.48269379032761084</v>
      </c>
      <c r="AB115" s="232">
        <f t="shared" si="198"/>
        <v>0.48311446123789009</v>
      </c>
      <c r="AC115" s="238">
        <f t="shared" si="198"/>
        <v>0.48353336405063402</v>
      </c>
      <c r="AD115" s="232">
        <f t="shared" si="198"/>
        <v>0.4839505079071133</v>
      </c>
      <c r="AE115" s="232">
        <f t="shared" si="198"/>
        <v>0.48436590189742762</v>
      </c>
      <c r="AF115" s="232">
        <f t="shared" si="198"/>
        <v>0.48477955506079939</v>
      </c>
      <c r="AG115" s="232">
        <f t="shared" si="198"/>
        <v>0.48519147638586574</v>
      </c>
      <c r="AH115" s="232">
        <f t="shared" si="198"/>
        <v>0.48560167481096922</v>
      </c>
      <c r="AI115" s="232">
        <f t="shared" si="198"/>
        <v>0.48601015922444574</v>
      </c>
      <c r="AJ115" s="232">
        <f t="shared" si="198"/>
        <v>0.48641693846491302</v>
      </c>
      <c r="AK115" s="232">
        <f t="shared" si="198"/>
        <v>0.48682202132155333</v>
      </c>
      <c r="AL115" s="232">
        <f t="shared" ref="AL115:BM115" si="199">AL114/AL42</f>
        <v>0.48722541653440005</v>
      </c>
      <c r="AM115" s="232">
        <f t="shared" si="199"/>
        <v>0.48762713279461772</v>
      </c>
      <c r="AN115" s="232">
        <f t="shared" si="199"/>
        <v>0.48802717874478319</v>
      </c>
      <c r="AO115" s="238">
        <f t="shared" si="199"/>
        <v>0.48842556297916428</v>
      </c>
      <c r="AP115" s="232">
        <f t="shared" si="199"/>
        <v>0.52211945579461827</v>
      </c>
      <c r="AQ115" s="232">
        <f t="shared" si="199"/>
        <v>0.52247174553889431</v>
      </c>
      <c r="AR115" s="232">
        <f t="shared" si="199"/>
        <v>0.52282257630214812</v>
      </c>
      <c r="AS115" s="232">
        <f t="shared" si="199"/>
        <v>0.5231719555778499</v>
      </c>
      <c r="AT115" s="232">
        <f t="shared" si="199"/>
        <v>0.52351989081761541</v>
      </c>
      <c r="AU115" s="232">
        <f t="shared" si="199"/>
        <v>0.52386638943144481</v>
      </c>
      <c r="AV115" s="232">
        <f t="shared" si="199"/>
        <v>0.52421145878796416</v>
      </c>
      <c r="AW115" s="232">
        <f t="shared" si="199"/>
        <v>0.52455510621466006</v>
      </c>
      <c r="AX115" s="232">
        <f t="shared" si="199"/>
        <v>0.52489733899811564</v>
      </c>
      <c r="AY115" s="232">
        <f t="shared" si="199"/>
        <v>0.52523816438424786</v>
      </c>
      <c r="AZ115" s="232">
        <f t="shared" si="199"/>
        <v>0.5255775895785374</v>
      </c>
      <c r="BA115" s="238">
        <f t="shared" si="199"/>
        <v>0.52591562174626305</v>
      </c>
      <c r="BB115" s="232">
        <f t="shared" si="199"/>
        <v>0.55263688888445428</v>
      </c>
      <c r="BC115" s="232">
        <f t="shared" si="199"/>
        <v>0.55293938885588112</v>
      </c>
      <c r="BD115" s="232">
        <f t="shared" si="199"/>
        <v>0.55324065112803755</v>
      </c>
      <c r="BE115" s="232">
        <f t="shared" si="199"/>
        <v>0.55354068202287376</v>
      </c>
      <c r="BF115" s="232">
        <f t="shared" si="199"/>
        <v>0.55383948782709502</v>
      </c>
      <c r="BG115" s="232">
        <f t="shared" si="199"/>
        <v>0.55413707479236296</v>
      </c>
      <c r="BH115" s="232">
        <f t="shared" si="199"/>
        <v>0.55443344913549653</v>
      </c>
      <c r="BI115" s="232">
        <f t="shared" si="199"/>
        <v>0.55472861703867116</v>
      </c>
      <c r="BJ115" s="232">
        <f t="shared" si="199"/>
        <v>0.55502258464961862</v>
      </c>
      <c r="BK115" s="232">
        <f t="shared" si="199"/>
        <v>0.55531535808182364</v>
      </c>
      <c r="BL115" s="232">
        <f t="shared" si="199"/>
        <v>0.5556069434147195</v>
      </c>
      <c r="BM115" s="232">
        <f t="shared" si="199"/>
        <v>0.55589734669388513</v>
      </c>
      <c r="BO115" s="232"/>
    </row>
    <row r="117" spans="1:73" s="201" customFormat="1" ht="15.75" thickBot="1" x14ac:dyDescent="0.25">
      <c r="A117" s="219"/>
      <c r="B117" s="219"/>
      <c r="C117" s="8" t="s">
        <v>150</v>
      </c>
      <c r="D117" s="9" t="s">
        <v>25</v>
      </c>
      <c r="E117" s="9"/>
      <c r="F117" s="114">
        <f>F118+F119</f>
        <v>6065790.833333333</v>
      </c>
      <c r="G117" s="114">
        <f t="shared" ref="G117:BM117" si="200">G118+G119</f>
        <v>23710.833333333332</v>
      </c>
      <c r="H117" s="114">
        <f t="shared" si="200"/>
        <v>23710.833333333332</v>
      </c>
      <c r="I117" s="114">
        <f t="shared" si="200"/>
        <v>23710.833333333332</v>
      </c>
      <c r="J117" s="114">
        <f t="shared" si="200"/>
        <v>23710.833333333332</v>
      </c>
      <c r="K117" s="114">
        <f t="shared" si="200"/>
        <v>23710.833333333332</v>
      </c>
      <c r="L117" s="114">
        <f t="shared" si="200"/>
        <v>23710.833333333332</v>
      </c>
      <c r="M117" s="114">
        <f t="shared" si="200"/>
        <v>23710.833333333332</v>
      </c>
      <c r="N117" s="114">
        <f t="shared" si="200"/>
        <v>23710.833333333332</v>
      </c>
      <c r="O117" s="114">
        <f t="shared" si="200"/>
        <v>23710.833333333332</v>
      </c>
      <c r="P117" s="114">
        <f t="shared" si="200"/>
        <v>23710.833333333332</v>
      </c>
      <c r="Q117" s="114">
        <f t="shared" si="200"/>
        <v>23710.833333333332</v>
      </c>
      <c r="R117" s="114">
        <f t="shared" si="200"/>
        <v>23710.833333333332</v>
      </c>
      <c r="S117" s="114">
        <f t="shared" si="200"/>
        <v>23710.833333333332</v>
      </c>
      <c r="T117" s="114">
        <f t="shared" si="200"/>
        <v>23710.833333333332</v>
      </c>
      <c r="U117" s="114">
        <f t="shared" si="200"/>
        <v>23710.833333333332</v>
      </c>
      <c r="V117" s="114">
        <f t="shared" si="200"/>
        <v>23710.833333333332</v>
      </c>
      <c r="W117" s="114">
        <f t="shared" si="200"/>
        <v>23710.833333333332</v>
      </c>
      <c r="X117" s="114">
        <f t="shared" si="200"/>
        <v>23710.833333333332</v>
      </c>
      <c r="Y117" s="114">
        <f t="shared" si="200"/>
        <v>23710.833333333332</v>
      </c>
      <c r="Z117" s="114">
        <f t="shared" si="200"/>
        <v>23710.833333333332</v>
      </c>
      <c r="AA117" s="114">
        <f t="shared" si="200"/>
        <v>23710.833333333332</v>
      </c>
      <c r="AB117" s="114">
        <f t="shared" si="200"/>
        <v>23710.833333333332</v>
      </c>
      <c r="AC117" s="114">
        <f t="shared" si="200"/>
        <v>23710.833333333332</v>
      </c>
      <c r="AD117" s="114">
        <f t="shared" si="200"/>
        <v>23710.833333333332</v>
      </c>
      <c r="AE117" s="114">
        <f t="shared" si="200"/>
        <v>23710.833333333332</v>
      </c>
      <c r="AF117" s="114">
        <f t="shared" si="200"/>
        <v>23710.833333333332</v>
      </c>
      <c r="AG117" s="114">
        <f t="shared" si="200"/>
        <v>23710.833333333332</v>
      </c>
      <c r="AH117" s="114">
        <f t="shared" si="200"/>
        <v>23710.833333333332</v>
      </c>
      <c r="AI117" s="114">
        <f t="shared" si="200"/>
        <v>23710.833333333332</v>
      </c>
      <c r="AJ117" s="114">
        <f t="shared" si="200"/>
        <v>23710.833333333332</v>
      </c>
      <c r="AK117" s="114">
        <f t="shared" si="200"/>
        <v>23710.833333333332</v>
      </c>
      <c r="AL117" s="114">
        <f t="shared" si="200"/>
        <v>23710.833333333332</v>
      </c>
      <c r="AM117" s="114">
        <f t="shared" si="200"/>
        <v>23710.833333333332</v>
      </c>
      <c r="AN117" s="114">
        <f t="shared" si="200"/>
        <v>23710.833333333332</v>
      </c>
      <c r="AO117" s="114">
        <f t="shared" si="200"/>
        <v>23710.833333333332</v>
      </c>
      <c r="AP117" s="114">
        <f t="shared" si="200"/>
        <v>23710.833333333332</v>
      </c>
      <c r="AQ117" s="114">
        <f t="shared" si="200"/>
        <v>23710.833333333332</v>
      </c>
      <c r="AR117" s="114">
        <f t="shared" si="200"/>
        <v>23710.833333333332</v>
      </c>
      <c r="AS117" s="114">
        <f t="shared" si="200"/>
        <v>23710.833333333332</v>
      </c>
      <c r="AT117" s="114">
        <f t="shared" si="200"/>
        <v>23710.833333333332</v>
      </c>
      <c r="AU117" s="114">
        <f t="shared" si="200"/>
        <v>23710.833333333332</v>
      </c>
      <c r="AV117" s="114">
        <f t="shared" si="200"/>
        <v>23710.833333333332</v>
      </c>
      <c r="AW117" s="114">
        <f t="shared" si="200"/>
        <v>23710.833333333332</v>
      </c>
      <c r="AX117" s="114">
        <f t="shared" si="200"/>
        <v>23710.833333333332</v>
      </c>
      <c r="AY117" s="114">
        <f t="shared" si="200"/>
        <v>23710.833333333332</v>
      </c>
      <c r="AZ117" s="114">
        <f t="shared" si="200"/>
        <v>23710.833333333332</v>
      </c>
      <c r="BA117" s="114">
        <f t="shared" si="200"/>
        <v>23710.833333333332</v>
      </c>
      <c r="BB117" s="114">
        <f t="shared" si="200"/>
        <v>23710.833333333332</v>
      </c>
      <c r="BC117" s="114">
        <f t="shared" si="200"/>
        <v>23710.833333333332</v>
      </c>
      <c r="BD117" s="114">
        <f t="shared" si="200"/>
        <v>23710.833333333332</v>
      </c>
      <c r="BE117" s="114">
        <f t="shared" si="200"/>
        <v>23710.833333333332</v>
      </c>
      <c r="BF117" s="114">
        <f t="shared" si="200"/>
        <v>23710.833333333332</v>
      </c>
      <c r="BG117" s="114">
        <f t="shared" si="200"/>
        <v>23710.833333333332</v>
      </c>
      <c r="BH117" s="114">
        <f t="shared" si="200"/>
        <v>23710.833333333332</v>
      </c>
      <c r="BI117" s="114">
        <f t="shared" si="200"/>
        <v>23710.833333333332</v>
      </c>
      <c r="BJ117" s="114">
        <f t="shared" si="200"/>
        <v>23710.833333333332</v>
      </c>
      <c r="BK117" s="114">
        <f t="shared" si="200"/>
        <v>23710.833333333332</v>
      </c>
      <c r="BL117" s="114">
        <f t="shared" si="200"/>
        <v>23710.833333333332</v>
      </c>
      <c r="BM117" s="114">
        <f t="shared" si="200"/>
        <v>23710.833333333332</v>
      </c>
      <c r="BN117" s="225"/>
      <c r="BO117" s="114">
        <f t="shared" si="128"/>
        <v>7464729.9999999814</v>
      </c>
      <c r="BP117" s="114">
        <f>SUM(F117:Q117)</f>
        <v>6326609.9999999963</v>
      </c>
      <c r="BQ117" s="114">
        <f>SUM(R117:AC117)</f>
        <v>284530.00000000006</v>
      </c>
      <c r="BR117" s="114">
        <f>SUM(AD117:AO117)</f>
        <v>284530.00000000006</v>
      </c>
      <c r="BS117" s="114">
        <f>SUM(AP117:BA117)</f>
        <v>284530.00000000006</v>
      </c>
      <c r="BT117" s="114">
        <f>SUM(BB117:BM117)</f>
        <v>284530.00000000006</v>
      </c>
      <c r="BU117" s="114">
        <f>SUM(BP117:BT117)</f>
        <v>7464729.9999999963</v>
      </c>
    </row>
    <row r="118" spans="1:73" ht="15.75" outlineLevel="1" thickTop="1" x14ac:dyDescent="0.2">
      <c r="C118" s="225" t="s">
        <v>78</v>
      </c>
      <c r="D118" s="226" t="s">
        <v>25</v>
      </c>
      <c r="F118" s="115">
        <f>'Вводные данные'!$G$122</f>
        <v>6042080</v>
      </c>
      <c r="G118" s="229">
        <f>IF(G10=('Вводные данные'!$F$100*12),('Вводные данные'!$G$97+'Вводные данные'!#REF!+'Вводные данные'!#REF!+'Вводные данные'!$G$99),0)</f>
        <v>0</v>
      </c>
      <c r="H118" s="229">
        <f>IF(H10=('Вводные данные'!$F$100*12),('Вводные данные'!$G$97+'Вводные данные'!#REF!+'Вводные данные'!#REF!+'Вводные данные'!$G$99),0)</f>
        <v>0</v>
      </c>
      <c r="I118" s="229">
        <f>IF(I10=('Вводные данные'!$F$100*12),('Вводные данные'!$G$97+'Вводные данные'!#REF!+'Вводные данные'!#REF!+'Вводные данные'!$G$99),0)</f>
        <v>0</v>
      </c>
      <c r="J118" s="229">
        <f>IF(J10=('Вводные данные'!$F$100*12),('Вводные данные'!$G$97+'Вводные данные'!#REF!+'Вводные данные'!#REF!+'Вводные данные'!$G$99),0)</f>
        <v>0</v>
      </c>
      <c r="K118" s="229">
        <f>IF(K10=('Вводные данные'!$F$100*12),('Вводные данные'!$G$97+'Вводные данные'!#REF!+'Вводные данные'!#REF!+'Вводные данные'!$G$99),0)</f>
        <v>0</v>
      </c>
      <c r="L118" s="229">
        <f>IF(L10=('Вводные данные'!$F$100*12),('Вводные данные'!$G$97+'Вводные данные'!#REF!+'Вводные данные'!#REF!+'Вводные данные'!$G$99),0)</f>
        <v>0</v>
      </c>
      <c r="M118" s="229">
        <f>IF(M10=('Вводные данные'!$F$100*12),('Вводные данные'!$G$97+'Вводные данные'!#REF!+'Вводные данные'!#REF!+'Вводные данные'!$G$99),0)</f>
        <v>0</v>
      </c>
      <c r="N118" s="229">
        <f>IF(N10=('Вводные данные'!$F$100*12),('Вводные данные'!$G$97+'Вводные данные'!#REF!+'Вводные данные'!#REF!+'Вводные данные'!$G$99),0)</f>
        <v>0</v>
      </c>
      <c r="O118" s="229">
        <f>IF(O10=('Вводные данные'!$F$100*12),('Вводные данные'!$G$97+'Вводные данные'!#REF!+'Вводные данные'!#REF!+'Вводные данные'!$G$99),0)</f>
        <v>0</v>
      </c>
      <c r="P118" s="229">
        <f>IF(P10=('Вводные данные'!$F$100*12),('Вводные данные'!$G$97+'Вводные данные'!#REF!+'Вводные данные'!#REF!+'Вводные данные'!$G$99),0)</f>
        <v>0</v>
      </c>
      <c r="Q118" s="229">
        <f>IF(Q10=('Вводные данные'!$F$100*12),('Вводные данные'!$G$97+'Вводные данные'!#REF!+'Вводные данные'!#REF!+'Вводные данные'!$G$99),0)</f>
        <v>0</v>
      </c>
      <c r="R118" s="229">
        <f>IF(R10=('Вводные данные'!$F$100*12),('Вводные данные'!$G$97+'Вводные данные'!#REF!+'Вводные данные'!#REF!+'Вводные данные'!$G$99),0)</f>
        <v>0</v>
      </c>
      <c r="S118" s="229">
        <f>IF(S10=('Вводные данные'!$F$100*12),('Вводные данные'!$G$97+'Вводные данные'!#REF!+'Вводные данные'!#REF!+'Вводные данные'!$G$99),0)</f>
        <v>0</v>
      </c>
      <c r="T118" s="229">
        <f>IF(T10=('Вводные данные'!$F$100*12),('Вводные данные'!$G$97+'Вводные данные'!#REF!+'Вводные данные'!#REF!+'Вводные данные'!$G$99),0)</f>
        <v>0</v>
      </c>
      <c r="U118" s="229">
        <f>IF(U10=('Вводные данные'!$F$100*12),('Вводные данные'!$G$97+'Вводные данные'!#REF!+'Вводные данные'!#REF!+'Вводные данные'!$G$99),0)</f>
        <v>0</v>
      </c>
      <c r="V118" s="229">
        <f>IF(V10=('Вводные данные'!$F$100*12),('Вводные данные'!$G$97+'Вводные данные'!#REF!+'Вводные данные'!#REF!+'Вводные данные'!$G$99),0)</f>
        <v>0</v>
      </c>
      <c r="W118" s="229">
        <f>IF(W10=('Вводные данные'!$F$100*12),('Вводные данные'!$G$97+'Вводные данные'!#REF!+'Вводные данные'!#REF!+'Вводные данные'!$G$99),0)</f>
        <v>0</v>
      </c>
      <c r="X118" s="229">
        <f>IF(X10=('Вводные данные'!$F$100*12),('Вводные данные'!$G$97+'Вводные данные'!#REF!+'Вводные данные'!#REF!+'Вводные данные'!$G$99),0)</f>
        <v>0</v>
      </c>
      <c r="Y118" s="229">
        <f>IF(Y10=('Вводные данные'!$F$100*12),('Вводные данные'!$G$97+'Вводные данные'!#REF!+'Вводные данные'!#REF!+'Вводные данные'!$G$99),0)</f>
        <v>0</v>
      </c>
      <c r="Z118" s="229">
        <f>IF(Z10=('Вводные данные'!$F$100*12),('Вводные данные'!$G$97+'Вводные данные'!#REF!+'Вводные данные'!#REF!+'Вводные данные'!$G$99),0)</f>
        <v>0</v>
      </c>
      <c r="AA118" s="229">
        <f>IF(AA10=('Вводные данные'!$F$100*12),('Вводные данные'!$G$97+'Вводные данные'!#REF!+'Вводные данные'!#REF!+'Вводные данные'!$G$99),0)</f>
        <v>0</v>
      </c>
      <c r="AB118" s="229">
        <f>IF(AB10=('Вводные данные'!$F$100*12),('Вводные данные'!$G$97+'Вводные данные'!#REF!+'Вводные данные'!#REF!+'Вводные данные'!$G$99),0)</f>
        <v>0</v>
      </c>
      <c r="AC118" s="229">
        <f>IF(AC10=('Вводные данные'!$F$100*12),('Вводные данные'!$G$97+'Вводные данные'!#REF!+'Вводные данные'!#REF!+'Вводные данные'!$G$99),0)</f>
        <v>0</v>
      </c>
      <c r="AD118" s="229">
        <f>IF(AD10=('Вводные данные'!$F$100*12),('Вводные данные'!$G$97+'Вводные данные'!#REF!+'Вводные данные'!#REF!+'Вводные данные'!$G$99),0)</f>
        <v>0</v>
      </c>
      <c r="AE118" s="229">
        <f>IF(AE10=('Вводные данные'!$F$100*12),('Вводные данные'!$G$97+'Вводные данные'!#REF!+'Вводные данные'!#REF!+'Вводные данные'!$G$99),0)</f>
        <v>0</v>
      </c>
      <c r="AF118" s="229">
        <f>IF(AF10=('Вводные данные'!$F$100*12),('Вводные данные'!$G$97+'Вводные данные'!#REF!+'Вводные данные'!#REF!+'Вводные данные'!$G$99),0)</f>
        <v>0</v>
      </c>
      <c r="AG118" s="229">
        <f>IF(AG10=('Вводные данные'!$F$100*12),('Вводные данные'!$G$97+'Вводные данные'!#REF!+'Вводные данные'!#REF!+'Вводные данные'!$G$99),0)</f>
        <v>0</v>
      </c>
      <c r="AH118" s="229">
        <f>IF(AH10=('Вводные данные'!$F$100*12),('Вводные данные'!$G$97+'Вводные данные'!#REF!+'Вводные данные'!#REF!+'Вводные данные'!$G$99),0)</f>
        <v>0</v>
      </c>
      <c r="AI118" s="229">
        <f>IF(AI10=('Вводные данные'!$F$100*12),('Вводные данные'!$G$97+'Вводные данные'!#REF!+'Вводные данные'!#REF!+'Вводные данные'!$G$99),0)</f>
        <v>0</v>
      </c>
      <c r="AJ118" s="229">
        <f>IF(AJ10=('Вводные данные'!$F$100*12),('Вводные данные'!$G$97+'Вводные данные'!#REF!+'Вводные данные'!#REF!+'Вводные данные'!$G$99),0)</f>
        <v>0</v>
      </c>
      <c r="AK118" s="229">
        <f>IF(AK10=('Вводные данные'!$F$100*12),('Вводные данные'!$G$97+'Вводные данные'!#REF!+'Вводные данные'!#REF!+'Вводные данные'!$G$99),0)</f>
        <v>0</v>
      </c>
      <c r="AL118" s="229">
        <f>IF(AL10=('Вводные данные'!$F$100*12),('Вводные данные'!$G$97+'Вводные данные'!#REF!+'Вводные данные'!#REF!+'Вводные данные'!$G$99),0)</f>
        <v>0</v>
      </c>
      <c r="AM118" s="229">
        <f>IF(AM10=('Вводные данные'!$F$100*12),('Вводные данные'!$G$97+'Вводные данные'!#REF!+'Вводные данные'!#REF!+'Вводные данные'!$G$99),0)</f>
        <v>0</v>
      </c>
      <c r="AN118" s="229">
        <f>IF(AN10=('Вводные данные'!$F$100*12),('Вводные данные'!$G$97+'Вводные данные'!#REF!+'Вводные данные'!#REF!+'Вводные данные'!$G$99),0)</f>
        <v>0</v>
      </c>
      <c r="AO118" s="229">
        <f>IF(AO10=('Вводные данные'!$F$100*12),('Вводные данные'!$G$97+'Вводные данные'!#REF!+'Вводные данные'!#REF!+'Вводные данные'!$G$99),0)</f>
        <v>0</v>
      </c>
      <c r="AP118" s="229">
        <f>IF(AP10=('Вводные данные'!$F$100*12),('Вводные данные'!$G$97+'Вводные данные'!#REF!+'Вводные данные'!#REF!+'Вводные данные'!$G$99),0)</f>
        <v>0</v>
      </c>
      <c r="AQ118" s="229">
        <f>IF(AQ10=('Вводные данные'!$F$100*12),('Вводные данные'!$G$97+'Вводные данные'!#REF!+'Вводные данные'!#REF!+'Вводные данные'!$G$99),0)</f>
        <v>0</v>
      </c>
      <c r="AR118" s="229">
        <f>IF(AR10=('Вводные данные'!$F$100*12),('Вводные данные'!$G$97+'Вводные данные'!#REF!+'Вводные данные'!#REF!+'Вводные данные'!$G$99),0)</f>
        <v>0</v>
      </c>
      <c r="AS118" s="229">
        <f>IF(AS10=('Вводные данные'!$F$100*12),('Вводные данные'!$G$97+'Вводные данные'!#REF!+'Вводные данные'!#REF!+'Вводные данные'!$G$99),0)</f>
        <v>0</v>
      </c>
      <c r="AT118" s="229">
        <f>IF(AT10=('Вводные данные'!$F$100*12),('Вводные данные'!$G$97+'Вводные данные'!#REF!+'Вводные данные'!#REF!+'Вводные данные'!$G$99),0)</f>
        <v>0</v>
      </c>
      <c r="AU118" s="229">
        <f>IF(AU10=('Вводные данные'!$F$100*12),('Вводные данные'!$G$97+'Вводные данные'!#REF!+'Вводные данные'!#REF!+'Вводные данные'!$G$99),0)</f>
        <v>0</v>
      </c>
      <c r="AV118" s="229">
        <f>IF(AV10=('Вводные данные'!$F$100*12),('Вводные данные'!$G$97+'Вводные данные'!#REF!+'Вводные данные'!#REF!+'Вводные данные'!$G$99),0)</f>
        <v>0</v>
      </c>
      <c r="AW118" s="229">
        <f>IF(AW10=('Вводные данные'!$F$100*12),('Вводные данные'!$G$97+'Вводные данные'!#REF!+'Вводные данные'!#REF!+'Вводные данные'!$G$99),0)</f>
        <v>0</v>
      </c>
      <c r="AX118" s="229">
        <f>IF(AX10=('Вводные данные'!$F$100*12),('Вводные данные'!$G$97+'Вводные данные'!#REF!+'Вводные данные'!#REF!+'Вводные данные'!$G$99),0)</f>
        <v>0</v>
      </c>
      <c r="AY118" s="229">
        <f>IF(AY10=('Вводные данные'!$F$100*12),('Вводные данные'!$G$97+'Вводные данные'!#REF!+'Вводные данные'!#REF!+'Вводные данные'!$G$99),0)</f>
        <v>0</v>
      </c>
      <c r="AZ118" s="229">
        <f>IF(AZ10=('Вводные данные'!$F$100*12),('Вводные данные'!$G$97+'Вводные данные'!#REF!+'Вводные данные'!#REF!+'Вводные данные'!$G$99),0)</f>
        <v>0</v>
      </c>
      <c r="BA118" s="229">
        <f>IF(BA10=('Вводные данные'!$F$100*12),('Вводные данные'!$G$97+'Вводные данные'!#REF!+'Вводные данные'!#REF!+'Вводные данные'!$G$99),0)</f>
        <v>0</v>
      </c>
      <c r="BB118" s="229">
        <f>IF(BB10=('Вводные данные'!$F$100*12),('Вводные данные'!$G$97+'Вводные данные'!#REF!+'Вводные данные'!#REF!+'Вводные данные'!$G$99),0)</f>
        <v>0</v>
      </c>
      <c r="BC118" s="229">
        <f>IF(BC10=('Вводные данные'!$F$100*12),('Вводные данные'!$G$97+'Вводные данные'!#REF!+'Вводные данные'!#REF!+'Вводные данные'!$G$99),0)</f>
        <v>0</v>
      </c>
      <c r="BD118" s="229">
        <f>IF(BD10=('Вводные данные'!$F$100*12),('Вводные данные'!$G$97+'Вводные данные'!#REF!+'Вводные данные'!#REF!+'Вводные данные'!$G$99),0)</f>
        <v>0</v>
      </c>
      <c r="BE118" s="229">
        <f>IF(BE10=('Вводные данные'!$F$100*12),('Вводные данные'!$G$97+'Вводные данные'!#REF!+'Вводные данные'!#REF!+'Вводные данные'!$G$99),0)</f>
        <v>0</v>
      </c>
      <c r="BF118" s="229">
        <f>IF(BF10=('Вводные данные'!$F$100*12),('Вводные данные'!$G$97+'Вводные данные'!#REF!+'Вводные данные'!#REF!+'Вводные данные'!$G$99),0)</f>
        <v>0</v>
      </c>
      <c r="BG118" s="229">
        <f>IF(BG10=('Вводные данные'!$F$100*12),('Вводные данные'!$G$97+'Вводные данные'!#REF!+'Вводные данные'!#REF!+'Вводные данные'!$G$99),0)</f>
        <v>0</v>
      </c>
      <c r="BH118" s="229">
        <f>IF(BH10=('Вводные данные'!$F$100*12),('Вводные данные'!$G$97+'Вводные данные'!#REF!+'Вводные данные'!#REF!+'Вводные данные'!$G$99),0)</f>
        <v>0</v>
      </c>
      <c r="BI118" s="229">
        <f>IF(BI10=('Вводные данные'!$F$100*12),('Вводные данные'!$G$97+'Вводные данные'!#REF!+'Вводные данные'!#REF!+'Вводные данные'!$G$99),0)</f>
        <v>0</v>
      </c>
      <c r="BJ118" s="229">
        <f>IF(BJ10=('Вводные данные'!$F$100*12),('Вводные данные'!$G$97+'Вводные данные'!#REF!+'Вводные данные'!#REF!+'Вводные данные'!$G$99),0)</f>
        <v>0</v>
      </c>
      <c r="BK118" s="229">
        <f>IF(BK10=('Вводные данные'!$F$100*12),('Вводные данные'!$G$97+'Вводные данные'!#REF!+'Вводные данные'!#REF!+'Вводные данные'!$G$99),0)</f>
        <v>0</v>
      </c>
      <c r="BL118" s="229">
        <f>IF(BL10=('Вводные данные'!$F$100*12),('Вводные данные'!$G$97+'Вводные данные'!#REF!+'Вводные данные'!#REF!+'Вводные данные'!$G$99),0)</f>
        <v>0</v>
      </c>
      <c r="BM118" s="229">
        <f>IF(BM10=('Вводные данные'!$F$100*12),('Вводные данные'!$G$97+'Вводные данные'!#REF!+'Вводные данные'!#REF!+'Вводные данные'!$G$99),0)</f>
        <v>0</v>
      </c>
      <c r="BO118" s="30">
        <f t="shared" si="128"/>
        <v>6042080</v>
      </c>
      <c r="BP118" s="97">
        <f>SUM(F118:Q118)</f>
        <v>6042080</v>
      </c>
      <c r="BQ118" s="97">
        <f>SUM(R118:AC118)</f>
        <v>0</v>
      </c>
      <c r="BR118" s="97">
        <f>SUM(AD118:AO118)</f>
        <v>0</v>
      </c>
      <c r="BS118" s="97">
        <f>SUM(AP118:BA118)</f>
        <v>0</v>
      </c>
      <c r="BT118" s="97">
        <f>SUM(BB118:BM118)</f>
        <v>0</v>
      </c>
      <c r="BU118" s="229">
        <f>SUM(BP118:BT118)</f>
        <v>6042080</v>
      </c>
    </row>
    <row r="119" spans="1:73" outlineLevel="1" x14ac:dyDescent="0.2">
      <c r="C119" s="225" t="s">
        <v>157</v>
      </c>
      <c r="D119" s="226" t="s">
        <v>25</v>
      </c>
      <c r="E119" s="239">
        <f>'Вводные данные'!F101</f>
        <v>0.1</v>
      </c>
      <c r="F119" s="235">
        <f>$E$119*'Вводные данные'!$G$96/12</f>
        <v>23710.833333333332</v>
      </c>
      <c r="G119" s="235">
        <f>$E$119*'Вводные данные'!$G$96/12</f>
        <v>23710.833333333332</v>
      </c>
      <c r="H119" s="235">
        <f>$E$119*'Вводные данные'!$G$96/12</f>
        <v>23710.833333333332</v>
      </c>
      <c r="I119" s="235">
        <f>$E$119*'Вводные данные'!$G$96/12</f>
        <v>23710.833333333332</v>
      </c>
      <c r="J119" s="235">
        <f>$E$119*'Вводные данные'!$G$96/12</f>
        <v>23710.833333333332</v>
      </c>
      <c r="K119" s="235">
        <f>$E$119*'Вводные данные'!$G$96/12</f>
        <v>23710.833333333332</v>
      </c>
      <c r="L119" s="235">
        <f>$E$119*'Вводные данные'!$G$96/12</f>
        <v>23710.833333333332</v>
      </c>
      <c r="M119" s="235">
        <f>$E$119*'Вводные данные'!$G$96/12</f>
        <v>23710.833333333332</v>
      </c>
      <c r="N119" s="235">
        <f>$E$119*'Вводные данные'!$G$96/12</f>
        <v>23710.833333333332</v>
      </c>
      <c r="O119" s="235">
        <f>$E$119*'Вводные данные'!$G$96/12</f>
        <v>23710.833333333332</v>
      </c>
      <c r="P119" s="235">
        <f>$E$119*'Вводные данные'!$G$96/12</f>
        <v>23710.833333333332</v>
      </c>
      <c r="Q119" s="235">
        <f>$E$119*'Вводные данные'!$G$96/12</f>
        <v>23710.833333333332</v>
      </c>
      <c r="R119" s="235">
        <f>$E$119*'Вводные данные'!$G$96/12</f>
        <v>23710.833333333332</v>
      </c>
      <c r="S119" s="235">
        <f>$E$119*'Вводные данные'!$G$96/12</f>
        <v>23710.833333333332</v>
      </c>
      <c r="T119" s="235">
        <f>$E$119*'Вводные данные'!$G$96/12</f>
        <v>23710.833333333332</v>
      </c>
      <c r="U119" s="235">
        <f>$E$119*'Вводные данные'!$G$96/12</f>
        <v>23710.833333333332</v>
      </c>
      <c r="V119" s="235">
        <f>$E$119*'Вводные данные'!$G$96/12</f>
        <v>23710.833333333332</v>
      </c>
      <c r="W119" s="235">
        <f>$E$119*'Вводные данные'!$G$96/12</f>
        <v>23710.833333333332</v>
      </c>
      <c r="X119" s="235">
        <f>$E$119*'Вводные данные'!$G$96/12</f>
        <v>23710.833333333332</v>
      </c>
      <c r="Y119" s="235">
        <f>$E$119*'Вводные данные'!$G$96/12</f>
        <v>23710.833333333332</v>
      </c>
      <c r="Z119" s="235">
        <f>$E$119*'Вводные данные'!$G$96/12</f>
        <v>23710.833333333332</v>
      </c>
      <c r="AA119" s="235">
        <f>$E$119*'Вводные данные'!$G$96/12</f>
        <v>23710.833333333332</v>
      </c>
      <c r="AB119" s="235">
        <f>$E$119*'Вводные данные'!$G$96/12</f>
        <v>23710.833333333332</v>
      </c>
      <c r="AC119" s="235">
        <f>$E$119*'Вводные данные'!$G$96/12</f>
        <v>23710.833333333332</v>
      </c>
      <c r="AD119" s="235">
        <f>$E$119*'Вводные данные'!$G$96/12</f>
        <v>23710.833333333332</v>
      </c>
      <c r="AE119" s="235">
        <f>$E$119*'Вводные данные'!$G$96/12</f>
        <v>23710.833333333332</v>
      </c>
      <c r="AF119" s="235">
        <f>$E$119*'Вводные данные'!$G$96/12</f>
        <v>23710.833333333332</v>
      </c>
      <c r="AG119" s="235">
        <f>$E$119*'Вводные данные'!$G$96/12</f>
        <v>23710.833333333332</v>
      </c>
      <c r="AH119" s="235">
        <f>$E$119*'Вводные данные'!$G$96/12</f>
        <v>23710.833333333332</v>
      </c>
      <c r="AI119" s="235">
        <f>$E$119*'Вводные данные'!$G$96/12</f>
        <v>23710.833333333332</v>
      </c>
      <c r="AJ119" s="235">
        <f>$E$119*'Вводные данные'!$G$96/12</f>
        <v>23710.833333333332</v>
      </c>
      <c r="AK119" s="235">
        <f>$E$119*'Вводные данные'!$G$96/12</f>
        <v>23710.833333333332</v>
      </c>
      <c r="AL119" s="235">
        <f>$E$119*'Вводные данные'!$G$96/12</f>
        <v>23710.833333333332</v>
      </c>
      <c r="AM119" s="235">
        <f>$E$119*'Вводные данные'!$G$96/12</f>
        <v>23710.833333333332</v>
      </c>
      <c r="AN119" s="235">
        <f>$E$119*'Вводные данные'!$G$96/12</f>
        <v>23710.833333333332</v>
      </c>
      <c r="AO119" s="235">
        <f>$E$119*'Вводные данные'!$G$96/12</f>
        <v>23710.833333333332</v>
      </c>
      <c r="AP119" s="235">
        <f>$E$119*'Вводные данные'!$G$96/12</f>
        <v>23710.833333333332</v>
      </c>
      <c r="AQ119" s="235">
        <f>$E$119*'Вводные данные'!$G$96/12</f>
        <v>23710.833333333332</v>
      </c>
      <c r="AR119" s="235">
        <f>$E$119*'Вводные данные'!$G$96/12</f>
        <v>23710.833333333332</v>
      </c>
      <c r="AS119" s="235">
        <f>$E$119*'Вводные данные'!$G$96/12</f>
        <v>23710.833333333332</v>
      </c>
      <c r="AT119" s="235">
        <f>$E$119*'Вводные данные'!$G$96/12</f>
        <v>23710.833333333332</v>
      </c>
      <c r="AU119" s="235">
        <f>$E$119*'Вводные данные'!$G$96/12</f>
        <v>23710.833333333332</v>
      </c>
      <c r="AV119" s="235">
        <f>$E$119*'Вводные данные'!$G$96/12</f>
        <v>23710.833333333332</v>
      </c>
      <c r="AW119" s="235">
        <f>$E$119*'Вводные данные'!$G$96/12</f>
        <v>23710.833333333332</v>
      </c>
      <c r="AX119" s="235">
        <f>$E$119*'Вводные данные'!$G$96/12</f>
        <v>23710.833333333332</v>
      </c>
      <c r="AY119" s="235">
        <f>$E$119*'Вводные данные'!$G$96/12</f>
        <v>23710.833333333332</v>
      </c>
      <c r="AZ119" s="235">
        <f>$E$119*'Вводные данные'!$G$96/12</f>
        <v>23710.833333333332</v>
      </c>
      <c r="BA119" s="235">
        <f>$E$119*'Вводные данные'!$G$96/12</f>
        <v>23710.833333333332</v>
      </c>
      <c r="BB119" s="235">
        <f>$E$119*'Вводные данные'!$G$96/12</f>
        <v>23710.833333333332</v>
      </c>
      <c r="BC119" s="235">
        <f>$E$119*'Вводные данные'!$G$96/12</f>
        <v>23710.833333333332</v>
      </c>
      <c r="BD119" s="235">
        <f>$E$119*'Вводные данные'!$G$96/12</f>
        <v>23710.833333333332</v>
      </c>
      <c r="BE119" s="235">
        <f>$E$119*'Вводные данные'!$G$96/12</f>
        <v>23710.833333333332</v>
      </c>
      <c r="BF119" s="235">
        <f>$E$119*'Вводные данные'!$G$96/12</f>
        <v>23710.833333333332</v>
      </c>
      <c r="BG119" s="235">
        <f>$E$119*'Вводные данные'!$G$96/12</f>
        <v>23710.833333333332</v>
      </c>
      <c r="BH119" s="235">
        <f>$E$119*'Вводные данные'!$G$96/12</f>
        <v>23710.833333333332</v>
      </c>
      <c r="BI119" s="235">
        <f>$E$119*'Вводные данные'!$G$96/12</f>
        <v>23710.833333333332</v>
      </c>
      <c r="BJ119" s="235">
        <f>$E$119*'Вводные данные'!$G$96/12</f>
        <v>23710.833333333332</v>
      </c>
      <c r="BK119" s="235">
        <f>$E$119*'Вводные данные'!$G$96/12</f>
        <v>23710.833333333332</v>
      </c>
      <c r="BL119" s="235">
        <f>$E$119*'Вводные данные'!$G$96/12</f>
        <v>23710.833333333332</v>
      </c>
      <c r="BM119" s="235">
        <f>$E$119*'Вводные данные'!$G$96/12</f>
        <v>23710.833333333332</v>
      </c>
      <c r="BO119" s="30">
        <f t="shared" ref="BO119" si="201">SUM(F119:BM119)</f>
        <v>1422649.9999999995</v>
      </c>
      <c r="BP119" s="97">
        <f>SUM(F119:Q119)</f>
        <v>284530.00000000006</v>
      </c>
      <c r="BQ119" s="97">
        <f>SUM(R119:AC119)</f>
        <v>284530.00000000006</v>
      </c>
      <c r="BR119" s="97">
        <f>SUM(AD119:AO119)</f>
        <v>284530.00000000006</v>
      </c>
      <c r="BS119" s="97">
        <f>SUM(AP119:BA119)</f>
        <v>284530.00000000006</v>
      </c>
      <c r="BT119" s="97">
        <f>SUM(BB119:BM119)</f>
        <v>284530.00000000006</v>
      </c>
      <c r="BU119" s="229">
        <f>SUM(BP119:BT119)</f>
        <v>1422650.0000000002</v>
      </c>
    </row>
    <row r="120" spans="1:73" outlineLevel="1" x14ac:dyDescent="0.2"/>
    <row r="122" spans="1:73" s="201" customFormat="1" ht="15.75" thickBot="1" x14ac:dyDescent="0.25">
      <c r="A122" s="219"/>
      <c r="B122" s="219"/>
      <c r="C122" s="8" t="s">
        <v>102</v>
      </c>
      <c r="D122" s="9" t="s">
        <v>25</v>
      </c>
      <c r="E122" s="9"/>
      <c r="F122" s="116">
        <f>F125</f>
        <v>-54358</v>
      </c>
      <c r="G122" s="116">
        <f t="shared" ref="G122:BM122" si="202">G125</f>
        <v>-10371.600000000006</v>
      </c>
      <c r="H122" s="116">
        <f t="shared" si="202"/>
        <v>-10371.599999999991</v>
      </c>
      <c r="I122" s="116">
        <f t="shared" si="202"/>
        <v>0</v>
      </c>
      <c r="J122" s="116">
        <f t="shared" si="202"/>
        <v>0</v>
      </c>
      <c r="K122" s="116">
        <f t="shared" si="202"/>
        <v>0</v>
      </c>
      <c r="L122" s="116">
        <f t="shared" si="202"/>
        <v>0</v>
      </c>
      <c r="M122" s="116">
        <f t="shared" si="202"/>
        <v>0</v>
      </c>
      <c r="N122" s="116">
        <f t="shared" si="202"/>
        <v>0</v>
      </c>
      <c r="O122" s="116">
        <f t="shared" si="202"/>
        <v>0</v>
      </c>
      <c r="P122" s="116">
        <f t="shared" si="202"/>
        <v>0</v>
      </c>
      <c r="Q122" s="116">
        <f t="shared" si="202"/>
        <v>0</v>
      </c>
      <c r="R122" s="116">
        <f t="shared" si="202"/>
        <v>-14230.479333333336</v>
      </c>
      <c r="S122" s="116">
        <f t="shared" si="202"/>
        <v>-521.10146277777676</v>
      </c>
      <c r="T122" s="116">
        <f t="shared" si="202"/>
        <v>-524.14122131066688</v>
      </c>
      <c r="U122" s="116">
        <f t="shared" si="202"/>
        <v>-527.19871176830202</v>
      </c>
      <c r="V122" s="116">
        <f t="shared" si="202"/>
        <v>-530.27403758694709</v>
      </c>
      <c r="W122" s="116">
        <f t="shared" si="202"/>
        <v>-533.3673028061894</v>
      </c>
      <c r="X122" s="116">
        <f t="shared" si="202"/>
        <v>-536.4786120725621</v>
      </c>
      <c r="Y122" s="116">
        <f t="shared" si="202"/>
        <v>-539.60807064300752</v>
      </c>
      <c r="Z122" s="116">
        <f t="shared" si="202"/>
        <v>-542.7557843884133</v>
      </c>
      <c r="AA122" s="116">
        <f t="shared" si="202"/>
        <v>-545.92185979732312</v>
      </c>
      <c r="AB122" s="116">
        <f t="shared" si="202"/>
        <v>-549.10640397951647</v>
      </c>
      <c r="AC122" s="116">
        <f t="shared" si="202"/>
        <v>-552.3095246693847</v>
      </c>
      <c r="AD122" s="116">
        <f t="shared" si="202"/>
        <v>-555.53133022994734</v>
      </c>
      <c r="AE122" s="116">
        <f t="shared" si="202"/>
        <v>-558.77192965627182</v>
      </c>
      <c r="AF122" s="116">
        <f t="shared" si="202"/>
        <v>-562.0314325793006</v>
      </c>
      <c r="AG122" s="116">
        <f t="shared" si="202"/>
        <v>-565.30994926932908</v>
      </c>
      <c r="AH122" s="116">
        <f t="shared" si="202"/>
        <v>-568.60759064009471</v>
      </c>
      <c r="AI122" s="116">
        <f t="shared" si="202"/>
        <v>-571.92446825210936</v>
      </c>
      <c r="AJ122" s="116">
        <f t="shared" si="202"/>
        <v>-575.26069431696669</v>
      </c>
      <c r="AK122" s="116">
        <f t="shared" si="202"/>
        <v>-578.61638170042716</v>
      </c>
      <c r="AL122" s="116">
        <f t="shared" si="202"/>
        <v>-581.99164392703096</v>
      </c>
      <c r="AM122" s="116">
        <f t="shared" si="202"/>
        <v>-585.38659518328495</v>
      </c>
      <c r="AN122" s="116">
        <f t="shared" si="202"/>
        <v>-588.80135032185353</v>
      </c>
      <c r="AO122" s="116">
        <f t="shared" si="202"/>
        <v>-592.2360248654004</v>
      </c>
      <c r="AP122" s="116">
        <f t="shared" si="202"/>
        <v>-13073.543160373869</v>
      </c>
      <c r="AQ122" s="116">
        <f t="shared" si="202"/>
        <v>-671.95307011262048</v>
      </c>
      <c r="AR122" s="116">
        <f t="shared" si="202"/>
        <v>-675.87279635496088</v>
      </c>
      <c r="AS122" s="116">
        <f t="shared" si="202"/>
        <v>-679.81538766701124</v>
      </c>
      <c r="AT122" s="116">
        <f t="shared" si="202"/>
        <v>-683.7809774284251</v>
      </c>
      <c r="AU122" s="116">
        <f t="shared" si="202"/>
        <v>-687.76969979671412</v>
      </c>
      <c r="AV122" s="116">
        <f t="shared" si="202"/>
        <v>-691.78168971223931</v>
      </c>
      <c r="AW122" s="116">
        <f t="shared" si="202"/>
        <v>-695.81708290222741</v>
      </c>
      <c r="AX122" s="116">
        <f t="shared" si="202"/>
        <v>-699.87601588580583</v>
      </c>
      <c r="AY122" s="116">
        <f t="shared" si="202"/>
        <v>-703.95862597847008</v>
      </c>
      <c r="AZ122" s="116">
        <f t="shared" si="202"/>
        <v>-708.06505129668221</v>
      </c>
      <c r="BA122" s="116">
        <f t="shared" si="202"/>
        <v>-712.19543076260015</v>
      </c>
      <c r="BB122" s="116">
        <f t="shared" si="202"/>
        <v>-14096.227290213807</v>
      </c>
      <c r="BC122" s="116">
        <f t="shared" si="202"/>
        <v>-798.57789663493168</v>
      </c>
      <c r="BD122" s="116">
        <f t="shared" si="202"/>
        <v>-803.23626769866678</v>
      </c>
      <c r="BE122" s="116">
        <f t="shared" si="202"/>
        <v>-807.92181259352947</v>
      </c>
      <c r="BF122" s="116">
        <f t="shared" si="202"/>
        <v>-812.63468983367784</v>
      </c>
      <c r="BG122" s="116">
        <f t="shared" si="202"/>
        <v>-817.37505885769497</v>
      </c>
      <c r="BH122" s="116">
        <f t="shared" si="202"/>
        <v>-822.14308003443875</v>
      </c>
      <c r="BI122" s="116">
        <f t="shared" si="202"/>
        <v>-826.93891466787318</v>
      </c>
      <c r="BJ122" s="116">
        <f t="shared" si="202"/>
        <v>-831.76272500350024</v>
      </c>
      <c r="BK122" s="116">
        <f t="shared" si="202"/>
        <v>-836.61467423266731</v>
      </c>
      <c r="BL122" s="116">
        <f t="shared" si="202"/>
        <v>-841.49492649899912</v>
      </c>
      <c r="BM122" s="116">
        <f t="shared" si="202"/>
        <v>-846.4036469036073</v>
      </c>
      <c r="BN122" s="225"/>
      <c r="BO122" s="114">
        <f t="shared" ref="BO122" si="203">SUM(F122:BM122)</f>
        <v>-145944.17168752046</v>
      </c>
      <c r="BP122" s="114">
        <f>SUM(F122:Q122)</f>
        <v>-75101.2</v>
      </c>
      <c r="BQ122" s="114">
        <f>SUM(R122:AC122)</f>
        <v>-20132.742325133426</v>
      </c>
      <c r="BR122" s="114">
        <f>SUM(AD122:AO122)</f>
        <v>-6884.4693909420166</v>
      </c>
      <c r="BS122" s="114">
        <f>SUM(AP122:BA122)</f>
        <v>-20684.428988271626</v>
      </c>
      <c r="BT122" s="114">
        <f>SUM(BB122:BM122)</f>
        <v>-23141.330983173393</v>
      </c>
      <c r="BU122" s="114">
        <f>SUM(BP122:BT122)</f>
        <v>-145944.17168752046</v>
      </c>
    </row>
    <row r="123" spans="1:73" ht="15.75" outlineLevel="1" thickTop="1" x14ac:dyDescent="0.2">
      <c r="C123" s="205" t="s">
        <v>6</v>
      </c>
      <c r="D123" s="202" t="s">
        <v>7</v>
      </c>
      <c r="E123" s="201"/>
      <c r="F123" s="248">
        <f>'Вводные данные'!E73</f>
        <v>0.1</v>
      </c>
      <c r="AH123" s="239">
        <v>0.1</v>
      </c>
    </row>
    <row r="124" spans="1:73" outlineLevel="1" x14ac:dyDescent="0.2">
      <c r="C124" s="205" t="s">
        <v>103</v>
      </c>
      <c r="D124" s="202" t="s">
        <v>145</v>
      </c>
      <c r="E124" s="201"/>
      <c r="F124" s="249">
        <f t="shared" ref="F124:AK124" si="204">$F$123*F42</f>
        <v>54358</v>
      </c>
      <c r="G124" s="249">
        <f t="shared" si="204"/>
        <v>64729.600000000006</v>
      </c>
      <c r="H124" s="249">
        <f t="shared" si="204"/>
        <v>75101.2</v>
      </c>
      <c r="I124" s="249">
        <f t="shared" si="204"/>
        <v>75101.2</v>
      </c>
      <c r="J124" s="249">
        <f t="shared" si="204"/>
        <v>75101.2</v>
      </c>
      <c r="K124" s="249">
        <f t="shared" si="204"/>
        <v>75101.2</v>
      </c>
      <c r="L124" s="249">
        <f t="shared" si="204"/>
        <v>75101.2</v>
      </c>
      <c r="M124" s="249">
        <f t="shared" si="204"/>
        <v>75101.2</v>
      </c>
      <c r="N124" s="249">
        <f t="shared" si="204"/>
        <v>75101.2</v>
      </c>
      <c r="O124" s="249">
        <f t="shared" si="204"/>
        <v>75101.2</v>
      </c>
      <c r="P124" s="249">
        <f t="shared" si="204"/>
        <v>75101.2</v>
      </c>
      <c r="Q124" s="250">
        <f t="shared" si="204"/>
        <v>75101.2</v>
      </c>
      <c r="R124" s="249">
        <f t="shared" si="204"/>
        <v>89331.679333333333</v>
      </c>
      <c r="S124" s="249">
        <f t="shared" si="204"/>
        <v>89852.78079611111</v>
      </c>
      <c r="T124" s="249">
        <f t="shared" si="204"/>
        <v>90376.922017421777</v>
      </c>
      <c r="U124" s="249">
        <f t="shared" si="204"/>
        <v>90904.120729190079</v>
      </c>
      <c r="V124" s="249">
        <f t="shared" si="204"/>
        <v>91434.394766777026</v>
      </c>
      <c r="W124" s="249">
        <f t="shared" si="204"/>
        <v>91967.762069583216</v>
      </c>
      <c r="X124" s="249">
        <f t="shared" si="204"/>
        <v>92504.240681655778</v>
      </c>
      <c r="Y124" s="249">
        <f t="shared" si="204"/>
        <v>93043.848752298785</v>
      </c>
      <c r="Z124" s="249">
        <f t="shared" si="204"/>
        <v>93586.604536687199</v>
      </c>
      <c r="AA124" s="249">
        <f t="shared" si="204"/>
        <v>94132.526396484522</v>
      </c>
      <c r="AB124" s="249">
        <f t="shared" si="204"/>
        <v>94681.632800464038</v>
      </c>
      <c r="AC124" s="250">
        <f t="shared" si="204"/>
        <v>95233.942325133423</v>
      </c>
      <c r="AD124" s="249">
        <f t="shared" si="204"/>
        <v>95789.47365536337</v>
      </c>
      <c r="AE124" s="249">
        <f t="shared" si="204"/>
        <v>96348.245585019642</v>
      </c>
      <c r="AF124" s="249">
        <f t="shared" si="204"/>
        <v>96910.277017598943</v>
      </c>
      <c r="AG124" s="249">
        <f t="shared" si="204"/>
        <v>97475.586966868272</v>
      </c>
      <c r="AH124" s="249">
        <f t="shared" si="204"/>
        <v>98044.194557508366</v>
      </c>
      <c r="AI124" s="249">
        <f t="shared" si="204"/>
        <v>98616.119025760476</v>
      </c>
      <c r="AJ124" s="249">
        <f t="shared" si="204"/>
        <v>99191.379720077442</v>
      </c>
      <c r="AK124" s="249">
        <f t="shared" si="204"/>
        <v>99769.99610177787</v>
      </c>
      <c r="AL124" s="249">
        <f t="shared" ref="AL124:BM124" si="205">$F$123*AL42</f>
        <v>100351.9877457049</v>
      </c>
      <c r="AM124" s="249">
        <f t="shared" si="205"/>
        <v>100937.37434088819</v>
      </c>
      <c r="AN124" s="249">
        <f t="shared" si="205"/>
        <v>101526.17569121004</v>
      </c>
      <c r="AO124" s="250">
        <f t="shared" si="205"/>
        <v>102118.41171607544</v>
      </c>
      <c r="AP124" s="249">
        <f t="shared" si="205"/>
        <v>115191.95487644931</v>
      </c>
      <c r="AQ124" s="249">
        <f t="shared" si="205"/>
        <v>115863.90794656193</v>
      </c>
      <c r="AR124" s="249">
        <f t="shared" si="205"/>
        <v>116539.78074291689</v>
      </c>
      <c r="AS124" s="249">
        <f t="shared" si="205"/>
        <v>117219.5961305839</v>
      </c>
      <c r="AT124" s="249">
        <f t="shared" si="205"/>
        <v>117903.37710801233</v>
      </c>
      <c r="AU124" s="249">
        <f t="shared" si="205"/>
        <v>118591.14680780904</v>
      </c>
      <c r="AV124" s="249">
        <f t="shared" si="205"/>
        <v>119282.92849752128</v>
      </c>
      <c r="AW124" s="249">
        <f t="shared" si="205"/>
        <v>119978.74558042351</v>
      </c>
      <c r="AX124" s="249">
        <f t="shared" si="205"/>
        <v>120678.62159630931</v>
      </c>
      <c r="AY124" s="249">
        <f t="shared" si="205"/>
        <v>121382.58022228778</v>
      </c>
      <c r="AZ124" s="249">
        <f t="shared" si="205"/>
        <v>122090.64527358447</v>
      </c>
      <c r="BA124" s="250">
        <f t="shared" si="205"/>
        <v>122802.84070434707</v>
      </c>
      <c r="BB124" s="249">
        <f t="shared" si="205"/>
        <v>136899.06799456087</v>
      </c>
      <c r="BC124" s="249">
        <f t="shared" si="205"/>
        <v>137697.6458911958</v>
      </c>
      <c r="BD124" s="249">
        <f t="shared" si="205"/>
        <v>138500.88215889447</v>
      </c>
      <c r="BE124" s="249">
        <f t="shared" si="205"/>
        <v>139308.803971488</v>
      </c>
      <c r="BF124" s="249">
        <f t="shared" si="205"/>
        <v>140121.43866132168</v>
      </c>
      <c r="BG124" s="249">
        <f t="shared" si="205"/>
        <v>140938.81372017937</v>
      </c>
      <c r="BH124" s="249">
        <f t="shared" si="205"/>
        <v>141760.95680021381</v>
      </c>
      <c r="BI124" s="249">
        <f t="shared" si="205"/>
        <v>142587.89571488168</v>
      </c>
      <c r="BJ124" s="249">
        <f t="shared" si="205"/>
        <v>143419.65843988518</v>
      </c>
      <c r="BK124" s="249">
        <f t="shared" si="205"/>
        <v>144256.27311411785</v>
      </c>
      <c r="BL124" s="249">
        <f t="shared" si="205"/>
        <v>145097.76804061685</v>
      </c>
      <c r="BM124" s="249">
        <f t="shared" si="205"/>
        <v>145944.17168752046</v>
      </c>
      <c r="BO124" s="251"/>
      <c r="BP124" s="97">
        <f>SUM(F124:Q124)</f>
        <v>870099.59999999986</v>
      </c>
      <c r="BQ124" s="97">
        <f>SUM(R124:AC124)</f>
        <v>1107050.4552051402</v>
      </c>
      <c r="BR124" s="97">
        <f>SUM(AD124:AO124)</f>
        <v>1187079.2221238529</v>
      </c>
      <c r="BS124" s="97">
        <f>SUM(AP124:BA124)</f>
        <v>1427526.1254868065</v>
      </c>
      <c r="BT124" s="97">
        <f>SUM(BB124:BM124)</f>
        <v>1696533.3761948757</v>
      </c>
      <c r="BU124" s="97">
        <f>SUM(BP124:BT124)</f>
        <v>6288288.7790106758</v>
      </c>
    </row>
    <row r="125" spans="1:73" outlineLevel="1" x14ac:dyDescent="0.2">
      <c r="C125" s="205" t="s">
        <v>104</v>
      </c>
      <c r="D125" s="202" t="s">
        <v>145</v>
      </c>
      <c r="E125" s="201"/>
      <c r="F125" s="249">
        <f>E124-F124</f>
        <v>-54358</v>
      </c>
      <c r="G125" s="249">
        <f>F124-G124</f>
        <v>-10371.600000000006</v>
      </c>
      <c r="H125" s="249">
        <f t="shared" ref="H125:M125" si="206">G124-H124</f>
        <v>-10371.599999999991</v>
      </c>
      <c r="I125" s="249">
        <f t="shared" si="206"/>
        <v>0</v>
      </c>
      <c r="J125" s="249">
        <f t="shared" si="206"/>
        <v>0</v>
      </c>
      <c r="K125" s="249">
        <f t="shared" si="206"/>
        <v>0</v>
      </c>
      <c r="L125" s="249">
        <f t="shared" si="206"/>
        <v>0</v>
      </c>
      <c r="M125" s="249">
        <f t="shared" si="206"/>
        <v>0</v>
      </c>
      <c r="N125" s="249">
        <f t="shared" ref="N125" si="207">M124-N124</f>
        <v>0</v>
      </c>
      <c r="O125" s="249">
        <f t="shared" ref="O125" si="208">N124-O124</f>
        <v>0</v>
      </c>
      <c r="P125" s="249">
        <f t="shared" ref="P125" si="209">O124-P124</f>
        <v>0</v>
      </c>
      <c r="Q125" s="250">
        <f t="shared" ref="Q125" si="210">P124-Q124</f>
        <v>0</v>
      </c>
      <c r="R125" s="249">
        <f t="shared" ref="R125" si="211">Q124-R124</f>
        <v>-14230.479333333336</v>
      </c>
      <c r="S125" s="249">
        <f t="shared" ref="S125:T125" si="212">R124-S124</f>
        <v>-521.10146277777676</v>
      </c>
      <c r="T125" s="249">
        <f t="shared" si="212"/>
        <v>-524.14122131066688</v>
      </c>
      <c r="U125" s="249">
        <f t="shared" ref="U125" si="213">T124-U124</f>
        <v>-527.19871176830202</v>
      </c>
      <c r="V125" s="249">
        <f t="shared" ref="V125" si="214">U124-V124</f>
        <v>-530.27403758694709</v>
      </c>
      <c r="W125" s="249">
        <f t="shared" ref="W125" si="215">V124-W124</f>
        <v>-533.3673028061894</v>
      </c>
      <c r="X125" s="249">
        <f t="shared" ref="X125" si="216">W124-X124</f>
        <v>-536.4786120725621</v>
      </c>
      <c r="Y125" s="249">
        <f t="shared" ref="Y125" si="217">X124-Y124</f>
        <v>-539.60807064300752</v>
      </c>
      <c r="Z125" s="249">
        <f t="shared" ref="Z125:AA125" si="218">Y124-Z124</f>
        <v>-542.7557843884133</v>
      </c>
      <c r="AA125" s="249">
        <f t="shared" si="218"/>
        <v>-545.92185979732312</v>
      </c>
      <c r="AB125" s="249">
        <f t="shared" ref="AB125" si="219">AA124-AB124</f>
        <v>-549.10640397951647</v>
      </c>
      <c r="AC125" s="250">
        <f t="shared" ref="AC125" si="220">AB124-AC124</f>
        <v>-552.3095246693847</v>
      </c>
      <c r="AD125" s="249">
        <f t="shared" ref="AD125" si="221">AC124-AD124</f>
        <v>-555.53133022994734</v>
      </c>
      <c r="AE125" s="249">
        <f t="shared" ref="AE125" si="222">AD124-AE124</f>
        <v>-558.77192965627182</v>
      </c>
      <c r="AF125" s="249">
        <f t="shared" ref="AF125" si="223">AE124-AF124</f>
        <v>-562.0314325793006</v>
      </c>
      <c r="AG125" s="249">
        <f t="shared" ref="AG125:AH125" si="224">AF124-AG124</f>
        <v>-565.30994926932908</v>
      </c>
      <c r="AH125" s="249">
        <f t="shared" si="224"/>
        <v>-568.60759064009471</v>
      </c>
      <c r="AI125" s="249">
        <f t="shared" ref="AI125" si="225">AH124-AI124</f>
        <v>-571.92446825210936</v>
      </c>
      <c r="AJ125" s="249">
        <f t="shared" ref="AJ125" si="226">AI124-AJ124</f>
        <v>-575.26069431696669</v>
      </c>
      <c r="AK125" s="249">
        <f t="shared" ref="AK125" si="227">AJ124-AK124</f>
        <v>-578.61638170042716</v>
      </c>
      <c r="AL125" s="249">
        <f t="shared" ref="AL125" si="228">AK124-AL124</f>
        <v>-581.99164392703096</v>
      </c>
      <c r="AM125" s="249">
        <f t="shared" ref="AM125" si="229">AL124-AM124</f>
        <v>-585.38659518328495</v>
      </c>
      <c r="AN125" s="249">
        <f t="shared" ref="AN125:AO125" si="230">AM124-AN124</f>
        <v>-588.80135032185353</v>
      </c>
      <c r="AO125" s="250">
        <f t="shared" si="230"/>
        <v>-592.2360248654004</v>
      </c>
      <c r="AP125" s="249">
        <f t="shared" ref="AP125" si="231">AO124-AP124</f>
        <v>-13073.543160373869</v>
      </c>
      <c r="AQ125" s="249">
        <f t="shared" ref="AQ125" si="232">AP124-AQ124</f>
        <v>-671.95307011262048</v>
      </c>
      <c r="AR125" s="249">
        <f t="shared" ref="AR125" si="233">AQ124-AR124</f>
        <v>-675.87279635496088</v>
      </c>
      <c r="AS125" s="249">
        <f t="shared" ref="AS125" si="234">AR124-AS124</f>
        <v>-679.81538766701124</v>
      </c>
      <c r="AT125" s="249">
        <f t="shared" ref="AT125" si="235">AS124-AT124</f>
        <v>-683.7809774284251</v>
      </c>
      <c r="AU125" s="249">
        <f t="shared" ref="AU125:AV125" si="236">AT124-AU124</f>
        <v>-687.76969979671412</v>
      </c>
      <c r="AV125" s="249">
        <f t="shared" si="236"/>
        <v>-691.78168971223931</v>
      </c>
      <c r="AW125" s="249">
        <f t="shared" ref="AW125" si="237">AV124-AW124</f>
        <v>-695.81708290222741</v>
      </c>
      <c r="AX125" s="249">
        <f t="shared" ref="AX125" si="238">AW124-AX124</f>
        <v>-699.87601588580583</v>
      </c>
      <c r="AY125" s="249">
        <f t="shared" ref="AY125" si="239">AX124-AY124</f>
        <v>-703.95862597847008</v>
      </c>
      <c r="AZ125" s="249">
        <f t="shared" ref="AZ125" si="240">AY124-AZ124</f>
        <v>-708.06505129668221</v>
      </c>
      <c r="BA125" s="250">
        <f t="shared" ref="BA125" si="241">AZ124-BA124</f>
        <v>-712.19543076260015</v>
      </c>
      <c r="BB125" s="249">
        <f t="shared" ref="BB125:BC125" si="242">BA124-BB124</f>
        <v>-14096.227290213807</v>
      </c>
      <c r="BC125" s="249">
        <f t="shared" si="242"/>
        <v>-798.57789663493168</v>
      </c>
      <c r="BD125" s="249">
        <f t="shared" ref="BD125" si="243">BC124-BD124</f>
        <v>-803.23626769866678</v>
      </c>
      <c r="BE125" s="249">
        <f t="shared" ref="BE125" si="244">BD124-BE124</f>
        <v>-807.92181259352947</v>
      </c>
      <c r="BF125" s="249">
        <f t="shared" ref="BF125" si="245">BE124-BF124</f>
        <v>-812.63468983367784</v>
      </c>
      <c r="BG125" s="249">
        <f t="shared" ref="BG125" si="246">BF124-BG124</f>
        <v>-817.37505885769497</v>
      </c>
      <c r="BH125" s="249">
        <f t="shared" ref="BH125" si="247">BG124-BH124</f>
        <v>-822.14308003443875</v>
      </c>
      <c r="BI125" s="249">
        <f t="shared" ref="BI125:BJ125" si="248">BH124-BI124</f>
        <v>-826.93891466787318</v>
      </c>
      <c r="BJ125" s="249">
        <f t="shared" si="248"/>
        <v>-831.76272500350024</v>
      </c>
      <c r="BK125" s="249">
        <f t="shared" ref="BK125" si="249">BJ124-BK124</f>
        <v>-836.61467423266731</v>
      </c>
      <c r="BL125" s="249">
        <f t="shared" ref="BL125" si="250">BK124-BL124</f>
        <v>-841.49492649899912</v>
      </c>
      <c r="BM125" s="249">
        <f t="shared" ref="BM125" si="251">BL124-BM124</f>
        <v>-846.4036469036073</v>
      </c>
      <c r="BO125" s="251"/>
      <c r="BP125" s="97">
        <f t="shared" ref="BP125" si="252">SUM(F125:Q125)</f>
        <v>-75101.2</v>
      </c>
      <c r="BQ125" s="97">
        <f t="shared" ref="BQ125" si="253">SUM(R125:AC125)</f>
        <v>-20132.742325133426</v>
      </c>
      <c r="BR125" s="97">
        <f t="shared" ref="BR125" si="254">SUM(AD125:AO125)</f>
        <v>-6884.4693909420166</v>
      </c>
      <c r="BS125" s="97">
        <f t="shared" ref="BS125" si="255">SUM(AP125:BA125)</f>
        <v>-20684.428988271626</v>
      </c>
      <c r="BT125" s="97">
        <f t="shared" ref="BT125" si="256">SUM(BB125:BM125)</f>
        <v>-23141.330983173393</v>
      </c>
      <c r="BU125" s="97">
        <f t="shared" ref="BU125" si="257">SUM(BP125:BT125)</f>
        <v>-145944.17168752046</v>
      </c>
    </row>
    <row r="126" spans="1:73" outlineLevel="1" x14ac:dyDescent="0.2">
      <c r="F126" s="229"/>
      <c r="G126" s="229"/>
      <c r="H126" s="229"/>
      <c r="I126" s="229"/>
      <c r="J126" s="229"/>
      <c r="K126" s="229"/>
      <c r="L126" s="229"/>
      <c r="M126" s="229"/>
      <c r="N126" s="229"/>
      <c r="O126" s="229"/>
      <c r="P126" s="229"/>
      <c r="Q126" s="229"/>
      <c r="R126" s="229"/>
      <c r="S126" s="229"/>
      <c r="T126" s="229"/>
      <c r="U126" s="229"/>
      <c r="V126" s="229"/>
      <c r="W126" s="229"/>
      <c r="X126" s="229"/>
      <c r="Y126" s="229"/>
      <c r="Z126" s="229"/>
      <c r="AA126" s="229"/>
      <c r="AB126" s="229"/>
      <c r="AC126" s="229"/>
      <c r="AD126" s="229"/>
      <c r="AE126" s="229"/>
      <c r="AF126" s="229"/>
      <c r="AG126" s="229"/>
      <c r="AH126" s="229"/>
      <c r="AI126" s="229"/>
      <c r="AJ126" s="229"/>
      <c r="AK126" s="229"/>
      <c r="AL126" s="229"/>
      <c r="AM126" s="229"/>
      <c r="AN126" s="229"/>
      <c r="AO126" s="229"/>
      <c r="AP126" s="229"/>
      <c r="AQ126" s="229"/>
      <c r="AR126" s="229"/>
      <c r="AS126" s="229"/>
      <c r="AT126" s="229"/>
      <c r="AU126" s="229"/>
      <c r="AV126" s="229"/>
      <c r="AW126" s="229"/>
      <c r="AX126" s="229"/>
      <c r="AY126" s="229"/>
      <c r="AZ126" s="229"/>
      <c r="BA126" s="229"/>
      <c r="BB126" s="229"/>
      <c r="BC126" s="229"/>
      <c r="BD126" s="229"/>
      <c r="BE126" s="229"/>
      <c r="BF126" s="229"/>
      <c r="BG126" s="229"/>
      <c r="BH126" s="229"/>
      <c r="BI126" s="229"/>
      <c r="BJ126" s="229"/>
      <c r="BK126" s="229"/>
      <c r="BL126" s="229"/>
      <c r="BM126" s="229"/>
      <c r="BP126" s="97"/>
      <c r="BQ126" s="97"/>
      <c r="BR126" s="97"/>
      <c r="BS126" s="97"/>
      <c r="BT126" s="97"/>
      <c r="BU126" s="97"/>
    </row>
    <row r="127" spans="1:73" outlineLevel="1" x14ac:dyDescent="0.2">
      <c r="F127" s="229"/>
      <c r="G127" s="229"/>
      <c r="H127" s="229"/>
      <c r="I127" s="229"/>
      <c r="J127" s="229"/>
      <c r="K127" s="229"/>
      <c r="L127" s="229"/>
      <c r="M127" s="229"/>
      <c r="N127" s="229"/>
      <c r="O127" s="229"/>
      <c r="P127" s="229"/>
      <c r="Q127" s="229"/>
      <c r="R127" s="229"/>
      <c r="S127" s="229"/>
      <c r="T127" s="229"/>
      <c r="U127" s="229"/>
      <c r="V127" s="229"/>
      <c r="W127" s="229"/>
      <c r="X127" s="229"/>
      <c r="Y127" s="229"/>
      <c r="Z127" s="229"/>
      <c r="AA127" s="229"/>
      <c r="AB127" s="229"/>
      <c r="AC127" s="229"/>
      <c r="AD127" s="229"/>
      <c r="AE127" s="229"/>
      <c r="AF127" s="229"/>
      <c r="AG127" s="229"/>
      <c r="AH127" s="229"/>
      <c r="AI127" s="229"/>
      <c r="AJ127" s="229"/>
      <c r="AK127" s="229"/>
      <c r="AL127" s="229"/>
      <c r="AM127" s="229"/>
      <c r="AN127" s="229"/>
      <c r="AO127" s="229"/>
      <c r="AP127" s="229"/>
      <c r="AQ127" s="229"/>
      <c r="AR127" s="229"/>
      <c r="AS127" s="229"/>
      <c r="AT127" s="229"/>
      <c r="AU127" s="229"/>
      <c r="AV127" s="229"/>
      <c r="AW127" s="229"/>
      <c r="AX127" s="229"/>
      <c r="AY127" s="229"/>
      <c r="AZ127" s="229"/>
      <c r="BA127" s="229"/>
      <c r="BB127" s="229"/>
      <c r="BC127" s="229"/>
      <c r="BD127" s="229"/>
      <c r="BE127" s="229"/>
      <c r="BF127" s="229"/>
      <c r="BG127" s="229"/>
      <c r="BH127" s="229"/>
      <c r="BI127" s="229"/>
      <c r="BJ127" s="229"/>
      <c r="BK127" s="229"/>
      <c r="BL127" s="229"/>
      <c r="BM127" s="229"/>
    </row>
    <row r="128" spans="1:73" outlineLevel="1" x14ac:dyDescent="0.2">
      <c r="F128" s="229"/>
      <c r="G128" s="229"/>
      <c r="H128" s="229"/>
      <c r="I128" s="229"/>
      <c r="J128" s="229"/>
      <c r="K128" s="229"/>
      <c r="L128" s="229"/>
      <c r="M128" s="229"/>
      <c r="N128" s="229"/>
      <c r="O128" s="229"/>
      <c r="P128" s="229"/>
      <c r="Q128" s="229"/>
      <c r="R128" s="229"/>
      <c r="S128" s="229"/>
      <c r="T128" s="229"/>
      <c r="U128" s="229"/>
      <c r="V128" s="229"/>
      <c r="W128" s="229"/>
      <c r="X128" s="229"/>
      <c r="Y128" s="229"/>
      <c r="Z128" s="229"/>
      <c r="AA128" s="229"/>
      <c r="AB128" s="229"/>
      <c r="AC128" s="229"/>
      <c r="AD128" s="229"/>
      <c r="AE128" s="229"/>
      <c r="AF128" s="229"/>
      <c r="AG128" s="229"/>
      <c r="AH128" s="229"/>
      <c r="AI128" s="229"/>
      <c r="AJ128" s="229"/>
      <c r="AK128" s="229"/>
      <c r="AL128" s="229"/>
      <c r="AM128" s="229"/>
      <c r="AN128" s="229"/>
      <c r="AO128" s="229"/>
      <c r="AP128" s="229"/>
      <c r="AQ128" s="229"/>
      <c r="AR128" s="229"/>
      <c r="AS128" s="229"/>
      <c r="AT128" s="229"/>
      <c r="AU128" s="229"/>
      <c r="AV128" s="229"/>
      <c r="AW128" s="229"/>
      <c r="AX128" s="229"/>
      <c r="AY128" s="229"/>
      <c r="AZ128" s="229"/>
      <c r="BA128" s="229"/>
      <c r="BB128" s="229"/>
      <c r="BC128" s="229"/>
      <c r="BD128" s="229"/>
      <c r="BE128" s="229"/>
      <c r="BF128" s="229"/>
      <c r="BG128" s="229"/>
      <c r="BH128" s="229"/>
      <c r="BI128" s="229"/>
      <c r="BJ128" s="229"/>
      <c r="BK128" s="229"/>
      <c r="BL128" s="229"/>
      <c r="BM128" s="229"/>
    </row>
    <row r="129" spans="1:73" x14ac:dyDescent="0.2">
      <c r="F129" s="229"/>
      <c r="G129" s="229"/>
      <c r="H129" s="229"/>
      <c r="I129" s="229"/>
      <c r="J129" s="229"/>
      <c r="K129" s="229"/>
      <c r="L129" s="229"/>
      <c r="M129" s="229"/>
      <c r="N129" s="229"/>
      <c r="O129" s="229"/>
      <c r="P129" s="229"/>
      <c r="Q129" s="229"/>
      <c r="R129" s="229"/>
      <c r="S129" s="229"/>
      <c r="T129" s="229"/>
      <c r="U129" s="229"/>
      <c r="V129" s="229"/>
      <c r="W129" s="229"/>
      <c r="X129" s="229"/>
      <c r="Y129" s="229"/>
      <c r="Z129" s="229"/>
      <c r="AA129" s="229"/>
      <c r="AB129" s="229"/>
      <c r="AC129" s="229"/>
      <c r="AD129" s="229"/>
      <c r="AE129" s="229"/>
      <c r="AF129" s="229"/>
      <c r="AG129" s="229"/>
      <c r="AH129" s="229"/>
      <c r="AI129" s="229"/>
      <c r="AJ129" s="229"/>
      <c r="AK129" s="229"/>
      <c r="AL129" s="229"/>
      <c r="AM129" s="229"/>
      <c r="AN129" s="229"/>
      <c r="AO129" s="229"/>
      <c r="AP129" s="229"/>
      <c r="AQ129" s="229"/>
      <c r="AR129" s="229"/>
      <c r="AS129" s="229"/>
      <c r="AT129" s="229"/>
      <c r="AU129" s="229"/>
      <c r="AV129" s="229"/>
      <c r="AW129" s="229"/>
      <c r="AX129" s="229"/>
      <c r="AY129" s="229"/>
      <c r="AZ129" s="229"/>
      <c r="BA129" s="229"/>
      <c r="BB129" s="229"/>
      <c r="BC129" s="229"/>
      <c r="BD129" s="229"/>
      <c r="BE129" s="229"/>
      <c r="BF129" s="229"/>
      <c r="BG129" s="229"/>
      <c r="BH129" s="229"/>
      <c r="BI129" s="229"/>
      <c r="BJ129" s="229"/>
      <c r="BK129" s="229"/>
      <c r="BL129" s="229"/>
      <c r="BM129" s="229"/>
    </row>
    <row r="130" spans="1:73" s="201" customFormat="1" ht="15.75" thickBot="1" x14ac:dyDescent="0.25">
      <c r="A130" s="219"/>
      <c r="B130" s="219"/>
      <c r="C130" s="8" t="s">
        <v>151</v>
      </c>
      <c r="D130" s="9" t="s">
        <v>25</v>
      </c>
      <c r="E130" s="9"/>
      <c r="F130" s="114">
        <f t="shared" ref="F130:AK130" si="258">F42-F111-F118+F125</f>
        <v>-6069477.322680952</v>
      </c>
      <c r="G130" s="114">
        <f t="shared" si="258"/>
        <v>175969.72426952378</v>
      </c>
      <c r="H130" s="114">
        <f t="shared" si="258"/>
        <v>274013.33379747218</v>
      </c>
      <c r="I130" s="114">
        <f t="shared" si="258"/>
        <v>315900.28326455597</v>
      </c>
      <c r="J130" s="114">
        <f t="shared" si="258"/>
        <v>315544.21001728612</v>
      </c>
      <c r="K130" s="114">
        <f t="shared" si="258"/>
        <v>315186.65313148597</v>
      </c>
      <c r="L130" s="114">
        <f t="shared" si="258"/>
        <v>314827.60642532824</v>
      </c>
      <c r="M130" s="114">
        <f t="shared" si="258"/>
        <v>314467.06369122816</v>
      </c>
      <c r="N130" s="114">
        <f t="shared" si="258"/>
        <v>314105.01869573607</v>
      </c>
      <c r="O130" s="114">
        <f t="shared" si="258"/>
        <v>313741.46517942951</v>
      </c>
      <c r="P130" s="114">
        <f t="shared" si="258"/>
        <v>313376.39685680484</v>
      </c>
      <c r="Q130" s="114">
        <f t="shared" si="258"/>
        <v>313009.80741616938</v>
      </c>
      <c r="R130" s="114">
        <f t="shared" si="258"/>
        <v>413513.41153358744</v>
      </c>
      <c r="S130" s="114">
        <f t="shared" si="258"/>
        <v>430110.62210990529</v>
      </c>
      <c r="T130" s="114">
        <f t="shared" si="258"/>
        <v>433012.87683244667</v>
      </c>
      <c r="U130" s="114">
        <f t="shared" si="258"/>
        <v>435932.68002575031</v>
      </c>
      <c r="V130" s="114">
        <f t="shared" si="258"/>
        <v>438870.13663361012</v>
      </c>
      <c r="W130" s="114">
        <f t="shared" si="258"/>
        <v>441825.35222273302</v>
      </c>
      <c r="X130" s="114">
        <f t="shared" si="258"/>
        <v>444798.43298641709</v>
      </c>
      <c r="Y130" s="114">
        <f t="shared" si="258"/>
        <v>447789.48574825109</v>
      </c>
      <c r="Z130" s="114">
        <f t="shared" si="258"/>
        <v>450798.61796583683</v>
      </c>
      <c r="AA130" s="114">
        <f t="shared" si="258"/>
        <v>453825.93773453258</v>
      </c>
      <c r="AB130" s="114">
        <f t="shared" si="258"/>
        <v>456871.55379121972</v>
      </c>
      <c r="AC130" s="114">
        <f t="shared" si="258"/>
        <v>459935.57551808882</v>
      </c>
      <c r="AD130" s="114">
        <f t="shared" si="258"/>
        <v>463018.11294645153</v>
      </c>
      <c r="AE130" s="114">
        <f t="shared" si="258"/>
        <v>466119.27676057263</v>
      </c>
      <c r="AF130" s="114">
        <f t="shared" si="258"/>
        <v>469239.17830152495</v>
      </c>
      <c r="AG130" s="114">
        <f t="shared" si="258"/>
        <v>472377.92957106733</v>
      </c>
      <c r="AH130" s="114">
        <f t="shared" si="258"/>
        <v>475535.64323554566</v>
      </c>
      <c r="AI130" s="114">
        <f t="shared" si="258"/>
        <v>478712.4326298153</v>
      </c>
      <c r="AJ130" s="114">
        <f t="shared" si="258"/>
        <v>481908.41176119028</v>
      </c>
      <c r="AK130" s="114">
        <f t="shared" si="258"/>
        <v>485123.69531340949</v>
      </c>
      <c r="AL130" s="114">
        <f t="shared" ref="AL130:BM130" si="259">AL42-AL111-AL118+AL125</f>
        <v>488358.39865063375</v>
      </c>
      <c r="AM130" s="114">
        <f t="shared" si="259"/>
        <v>491612.63782145991</v>
      </c>
      <c r="AN130" s="114">
        <f t="shared" si="259"/>
        <v>494886.52956296236</v>
      </c>
      <c r="AO130" s="114">
        <f t="shared" si="259"/>
        <v>498180.19130475691</v>
      </c>
      <c r="AP130" s="114">
        <f t="shared" si="259"/>
        <v>588366.06475972547</v>
      </c>
      <c r="AQ130" s="114">
        <f t="shared" si="259"/>
        <v>604684.22922786721</v>
      </c>
      <c r="AR130" s="114">
        <f t="shared" si="259"/>
        <v>608620.41130063788</v>
      </c>
      <c r="AS130" s="114">
        <f t="shared" si="259"/>
        <v>612580.23800916644</v>
      </c>
      <c r="AT130" s="114">
        <f t="shared" si="259"/>
        <v>616563.850128719</v>
      </c>
      <c r="AU130" s="114">
        <f t="shared" si="259"/>
        <v>620571.38926761667</v>
      </c>
      <c r="AV130" s="114">
        <f t="shared" si="259"/>
        <v>624602.99787214829</v>
      </c>
      <c r="AW130" s="114">
        <f t="shared" si="259"/>
        <v>628658.81923150504</v>
      </c>
      <c r="AX130" s="114">
        <f t="shared" si="259"/>
        <v>632738.99748274707</v>
      </c>
      <c r="AY130" s="114">
        <f t="shared" si="259"/>
        <v>636843.67761580297</v>
      </c>
      <c r="AZ130" s="114">
        <f t="shared" si="259"/>
        <v>640973.00547849096</v>
      </c>
      <c r="BA130" s="114">
        <f t="shared" si="259"/>
        <v>645127.12778157718</v>
      </c>
      <c r="BB130" s="114">
        <f t="shared" si="259"/>
        <v>742458.52298674104</v>
      </c>
      <c r="BC130" s="114">
        <f t="shared" si="259"/>
        <v>760585.94376307842</v>
      </c>
      <c r="BD130" s="114">
        <f t="shared" si="259"/>
        <v>765439.9460062451</v>
      </c>
      <c r="BE130" s="114">
        <f t="shared" si="259"/>
        <v>770322.98180908943</v>
      </c>
      <c r="BF130" s="114">
        <f t="shared" si="259"/>
        <v>775235.22352798749</v>
      </c>
      <c r="BG130" s="114">
        <f t="shared" si="259"/>
        <v>780176.8445372018</v>
      </c>
      <c r="BH130" s="114">
        <f t="shared" si="259"/>
        <v>785148.01923487219</v>
      </c>
      <c r="BI130" s="114">
        <f t="shared" si="259"/>
        <v>790148.92304903804</v>
      </c>
      <c r="BJ130" s="114">
        <f t="shared" si="259"/>
        <v>795179.73244370206</v>
      </c>
      <c r="BK130" s="114">
        <f t="shared" si="259"/>
        <v>800240.62492492422</v>
      </c>
      <c r="BL130" s="114">
        <f t="shared" si="259"/>
        <v>805331.77904695214</v>
      </c>
      <c r="BM130" s="114">
        <f t="shared" si="259"/>
        <v>810453.37441839103</v>
      </c>
      <c r="BN130" s="225"/>
      <c r="BO130" s="114">
        <f t="shared" ref="BO130" si="260">SUM(F130:BM130)</f>
        <v>25124074.084930066</v>
      </c>
      <c r="BP130" s="114">
        <f>SUM(F130:Q130)</f>
        <v>-2789335.7599359313</v>
      </c>
      <c r="BQ130" s="114">
        <f>SUM(R130:AC130)</f>
        <v>5307284.6831023777</v>
      </c>
      <c r="BR130" s="114">
        <f>SUM(AD130:AO130)</f>
        <v>5765072.4378593909</v>
      </c>
      <c r="BS130" s="114">
        <f>SUM(AP130:BA130)</f>
        <v>7460330.8081560051</v>
      </c>
      <c r="BT130" s="114">
        <f>SUM(BB130:BM130)</f>
        <v>9380721.9157482237</v>
      </c>
      <c r="BU130" s="114">
        <f>SUM(BP130:BT130)</f>
        <v>25124074.084930066</v>
      </c>
    </row>
    <row r="131" spans="1:73" ht="15.75" outlineLevel="1" thickTop="1" x14ac:dyDescent="0.2">
      <c r="C131" s="225" t="s">
        <v>106</v>
      </c>
      <c r="F131" s="229">
        <f>F130</f>
        <v>-6069477.322680952</v>
      </c>
      <c r="G131" s="229">
        <f>F131+G130</f>
        <v>-5893507.5984114278</v>
      </c>
      <c r="H131" s="229">
        <f t="shared" ref="H131:BM131" si="261">G131+H130</f>
        <v>-5619494.2646139553</v>
      </c>
      <c r="I131" s="229">
        <f t="shared" si="261"/>
        <v>-5303593.9813493993</v>
      </c>
      <c r="J131" s="229">
        <f t="shared" si="261"/>
        <v>-4988049.7713321131</v>
      </c>
      <c r="K131" s="229">
        <f t="shared" si="261"/>
        <v>-4672863.1182006272</v>
      </c>
      <c r="L131" s="229">
        <f t="shared" si="261"/>
        <v>-4358035.511775299</v>
      </c>
      <c r="M131" s="229">
        <f t="shared" si="261"/>
        <v>-4043568.4480840708</v>
      </c>
      <c r="N131" s="229">
        <f t="shared" si="261"/>
        <v>-3729463.429388335</v>
      </c>
      <c r="O131" s="229">
        <f t="shared" si="261"/>
        <v>-3415721.9642089056</v>
      </c>
      <c r="P131" s="229">
        <f t="shared" si="261"/>
        <v>-3102345.5673521007</v>
      </c>
      <c r="Q131" s="229">
        <f t="shared" si="261"/>
        <v>-2789335.7599359313</v>
      </c>
      <c r="R131" s="229">
        <f t="shared" si="261"/>
        <v>-2375822.3484023437</v>
      </c>
      <c r="S131" s="229">
        <f t="shared" si="261"/>
        <v>-1945711.7262924383</v>
      </c>
      <c r="T131" s="229">
        <f t="shared" si="261"/>
        <v>-1512698.8494599918</v>
      </c>
      <c r="U131" s="229">
        <f t="shared" si="261"/>
        <v>-1076766.1694342415</v>
      </c>
      <c r="V131" s="229">
        <f t="shared" si="261"/>
        <v>-637896.03280063136</v>
      </c>
      <c r="W131" s="229">
        <f t="shared" si="261"/>
        <v>-196070.68057789834</v>
      </c>
      <c r="X131" s="229">
        <f t="shared" si="261"/>
        <v>248727.75240851875</v>
      </c>
      <c r="Y131" s="229">
        <f t="shared" si="261"/>
        <v>696517.23815676989</v>
      </c>
      <c r="Z131" s="229">
        <f t="shared" si="261"/>
        <v>1147315.8561226067</v>
      </c>
      <c r="AA131" s="229">
        <f t="shared" si="261"/>
        <v>1601141.7938571393</v>
      </c>
      <c r="AB131" s="229">
        <f t="shared" si="261"/>
        <v>2058013.3476483589</v>
      </c>
      <c r="AC131" s="229">
        <f t="shared" si="261"/>
        <v>2517948.9231664478</v>
      </c>
      <c r="AD131" s="229">
        <f t="shared" si="261"/>
        <v>2980967.0361128994</v>
      </c>
      <c r="AE131" s="229">
        <f t="shared" si="261"/>
        <v>3447086.312873472</v>
      </c>
      <c r="AF131" s="229">
        <f t="shared" si="261"/>
        <v>3916325.4911749968</v>
      </c>
      <c r="AG131" s="229">
        <f t="shared" si="261"/>
        <v>4388703.4207460638</v>
      </c>
      <c r="AH131" s="229">
        <f t="shared" si="261"/>
        <v>4864239.0639816094</v>
      </c>
      <c r="AI131" s="229">
        <f t="shared" si="261"/>
        <v>5342951.4966114247</v>
      </c>
      <c r="AJ131" s="229">
        <f t="shared" si="261"/>
        <v>5824859.9083726145</v>
      </c>
      <c r="AK131" s="229">
        <f t="shared" si="261"/>
        <v>6309983.6036860244</v>
      </c>
      <c r="AL131" s="229">
        <f t="shared" si="261"/>
        <v>6798342.0023366585</v>
      </c>
      <c r="AM131" s="229">
        <f t="shared" si="261"/>
        <v>7289954.6401581187</v>
      </c>
      <c r="AN131" s="229">
        <f t="shared" si="261"/>
        <v>7784841.1697210809</v>
      </c>
      <c r="AO131" s="229">
        <f t="shared" si="261"/>
        <v>8283021.3610258382</v>
      </c>
      <c r="AP131" s="229">
        <f t="shared" si="261"/>
        <v>8871387.4257855639</v>
      </c>
      <c r="AQ131" s="229">
        <f t="shared" si="261"/>
        <v>9476071.6550134309</v>
      </c>
      <c r="AR131" s="229">
        <f t="shared" si="261"/>
        <v>10084692.06631407</v>
      </c>
      <c r="AS131" s="229">
        <f t="shared" si="261"/>
        <v>10697272.304323236</v>
      </c>
      <c r="AT131" s="229">
        <f t="shared" si="261"/>
        <v>11313836.154451955</v>
      </c>
      <c r="AU131" s="229">
        <f t="shared" si="261"/>
        <v>11934407.543719571</v>
      </c>
      <c r="AV131" s="229">
        <f t="shared" si="261"/>
        <v>12559010.541591719</v>
      </c>
      <c r="AW131" s="229">
        <f t="shared" si="261"/>
        <v>13187669.360823223</v>
      </c>
      <c r="AX131" s="229">
        <f t="shared" si="261"/>
        <v>13820408.35830597</v>
      </c>
      <c r="AY131" s="229">
        <f t="shared" si="261"/>
        <v>14457252.035921773</v>
      </c>
      <c r="AZ131" s="229">
        <f t="shared" si="261"/>
        <v>15098225.041400263</v>
      </c>
      <c r="BA131" s="229">
        <f t="shared" si="261"/>
        <v>15743352.16918184</v>
      </c>
      <c r="BB131" s="229">
        <f t="shared" si="261"/>
        <v>16485810.692168582</v>
      </c>
      <c r="BC131" s="229">
        <f t="shared" si="261"/>
        <v>17246396.635931659</v>
      </c>
      <c r="BD131" s="229">
        <f t="shared" si="261"/>
        <v>18011836.581937905</v>
      </c>
      <c r="BE131" s="229">
        <f t="shared" si="261"/>
        <v>18782159.563746996</v>
      </c>
      <c r="BF131" s="229">
        <f t="shared" si="261"/>
        <v>19557394.787274983</v>
      </c>
      <c r="BG131" s="229">
        <f t="shared" si="261"/>
        <v>20337571.631812185</v>
      </c>
      <c r="BH131" s="229">
        <f t="shared" si="261"/>
        <v>21122719.651047058</v>
      </c>
      <c r="BI131" s="229">
        <f t="shared" si="261"/>
        <v>21912868.574096095</v>
      </c>
      <c r="BJ131" s="229">
        <f t="shared" si="261"/>
        <v>22708048.306539796</v>
      </c>
      <c r="BK131" s="229">
        <f t="shared" si="261"/>
        <v>23508288.931464721</v>
      </c>
      <c r="BL131" s="229">
        <f t="shared" si="261"/>
        <v>24313620.710511673</v>
      </c>
      <c r="BM131" s="229">
        <f t="shared" si="261"/>
        <v>25124074.084930066</v>
      </c>
      <c r="BO131" s="252"/>
    </row>
    <row r="132" spans="1:73" outlineLevel="1" x14ac:dyDescent="0.2">
      <c r="D132" s="226">
        <f>SUM(F132:BM132)</f>
        <v>18</v>
      </c>
      <c r="E132" s="225">
        <f>D132/12</f>
        <v>1.5</v>
      </c>
      <c r="F132" s="229">
        <f t="shared" ref="F132:AK132" si="262">IF(F131&lt;0,F5,0)</f>
        <v>1</v>
      </c>
      <c r="G132" s="229">
        <f t="shared" si="262"/>
        <v>1</v>
      </c>
      <c r="H132" s="229">
        <f t="shared" si="262"/>
        <v>1</v>
      </c>
      <c r="I132" s="229">
        <f t="shared" si="262"/>
        <v>1</v>
      </c>
      <c r="J132" s="229">
        <f t="shared" si="262"/>
        <v>1</v>
      </c>
      <c r="K132" s="229">
        <f t="shared" si="262"/>
        <v>1</v>
      </c>
      <c r="L132" s="229">
        <f t="shared" si="262"/>
        <v>1</v>
      </c>
      <c r="M132" s="229">
        <f t="shared" si="262"/>
        <v>1</v>
      </c>
      <c r="N132" s="229">
        <f t="shared" si="262"/>
        <v>1</v>
      </c>
      <c r="O132" s="229">
        <f t="shared" si="262"/>
        <v>1</v>
      </c>
      <c r="P132" s="229">
        <f t="shared" si="262"/>
        <v>1</v>
      </c>
      <c r="Q132" s="229">
        <f t="shared" si="262"/>
        <v>1</v>
      </c>
      <c r="R132" s="229">
        <f t="shared" si="262"/>
        <v>1</v>
      </c>
      <c r="S132" s="229">
        <f t="shared" si="262"/>
        <v>1</v>
      </c>
      <c r="T132" s="229">
        <f t="shared" si="262"/>
        <v>1</v>
      </c>
      <c r="U132" s="229">
        <f t="shared" si="262"/>
        <v>1</v>
      </c>
      <c r="V132" s="229">
        <f t="shared" si="262"/>
        <v>1</v>
      </c>
      <c r="W132" s="229">
        <f t="shared" si="262"/>
        <v>1</v>
      </c>
      <c r="X132" s="229">
        <f t="shared" si="262"/>
        <v>0</v>
      </c>
      <c r="Y132" s="229">
        <f t="shared" si="262"/>
        <v>0</v>
      </c>
      <c r="Z132" s="229">
        <f t="shared" si="262"/>
        <v>0</v>
      </c>
      <c r="AA132" s="229">
        <f t="shared" si="262"/>
        <v>0</v>
      </c>
      <c r="AB132" s="229">
        <f t="shared" si="262"/>
        <v>0</v>
      </c>
      <c r="AC132" s="229">
        <f t="shared" si="262"/>
        <v>0</v>
      </c>
      <c r="AD132" s="229">
        <f t="shared" si="262"/>
        <v>0</v>
      </c>
      <c r="AE132" s="229">
        <f t="shared" si="262"/>
        <v>0</v>
      </c>
      <c r="AF132" s="229">
        <f t="shared" si="262"/>
        <v>0</v>
      </c>
      <c r="AG132" s="229">
        <f t="shared" si="262"/>
        <v>0</v>
      </c>
      <c r="AH132" s="229">
        <f t="shared" si="262"/>
        <v>0</v>
      </c>
      <c r="AI132" s="229">
        <f t="shared" si="262"/>
        <v>0</v>
      </c>
      <c r="AJ132" s="229">
        <f t="shared" si="262"/>
        <v>0</v>
      </c>
      <c r="AK132" s="229">
        <f t="shared" si="262"/>
        <v>0</v>
      </c>
      <c r="AL132" s="229">
        <f t="shared" ref="AL132:BM132" si="263">IF(AL131&lt;0,AL5,0)</f>
        <v>0</v>
      </c>
      <c r="AM132" s="229">
        <f t="shared" si="263"/>
        <v>0</v>
      </c>
      <c r="AN132" s="229">
        <f t="shared" si="263"/>
        <v>0</v>
      </c>
      <c r="AO132" s="229">
        <f t="shared" si="263"/>
        <v>0</v>
      </c>
      <c r="AP132" s="229">
        <f t="shared" si="263"/>
        <v>0</v>
      </c>
      <c r="AQ132" s="229">
        <f t="shared" si="263"/>
        <v>0</v>
      </c>
      <c r="AR132" s="229">
        <f t="shared" si="263"/>
        <v>0</v>
      </c>
      <c r="AS132" s="229">
        <f t="shared" si="263"/>
        <v>0</v>
      </c>
      <c r="AT132" s="229">
        <f t="shared" si="263"/>
        <v>0</v>
      </c>
      <c r="AU132" s="229">
        <f t="shared" si="263"/>
        <v>0</v>
      </c>
      <c r="AV132" s="229">
        <f t="shared" si="263"/>
        <v>0</v>
      </c>
      <c r="AW132" s="229">
        <f t="shared" si="263"/>
        <v>0</v>
      </c>
      <c r="AX132" s="229">
        <f t="shared" si="263"/>
        <v>0</v>
      </c>
      <c r="AY132" s="229">
        <f t="shared" si="263"/>
        <v>0</v>
      </c>
      <c r="AZ132" s="229">
        <f t="shared" si="263"/>
        <v>0</v>
      </c>
      <c r="BA132" s="229">
        <f t="shared" si="263"/>
        <v>0</v>
      </c>
      <c r="BB132" s="229">
        <f t="shared" si="263"/>
        <v>0</v>
      </c>
      <c r="BC132" s="229">
        <f t="shared" si="263"/>
        <v>0</v>
      </c>
      <c r="BD132" s="229">
        <f t="shared" si="263"/>
        <v>0</v>
      </c>
      <c r="BE132" s="229">
        <f t="shared" si="263"/>
        <v>0</v>
      </c>
      <c r="BF132" s="229">
        <f t="shared" si="263"/>
        <v>0</v>
      </c>
      <c r="BG132" s="229">
        <f t="shared" si="263"/>
        <v>0</v>
      </c>
      <c r="BH132" s="229">
        <f t="shared" si="263"/>
        <v>0</v>
      </c>
      <c r="BI132" s="229">
        <f t="shared" si="263"/>
        <v>0</v>
      </c>
      <c r="BJ132" s="229">
        <f t="shared" si="263"/>
        <v>0</v>
      </c>
      <c r="BK132" s="229">
        <f t="shared" si="263"/>
        <v>0</v>
      </c>
      <c r="BL132" s="229">
        <f t="shared" si="263"/>
        <v>0</v>
      </c>
      <c r="BM132" s="229">
        <f t="shared" si="263"/>
        <v>0</v>
      </c>
    </row>
    <row r="133" spans="1:73" x14ac:dyDescent="0.2">
      <c r="F133" s="229"/>
      <c r="G133" s="229"/>
      <c r="H133" s="229"/>
      <c r="I133" s="229"/>
      <c r="J133" s="229"/>
      <c r="K133" s="229"/>
      <c r="L133" s="229"/>
      <c r="M133" s="229"/>
      <c r="N133" s="229"/>
      <c r="O133" s="229"/>
      <c r="P133" s="229"/>
      <c r="Q133" s="229"/>
      <c r="R133" s="229"/>
      <c r="S133" s="229"/>
      <c r="T133" s="229"/>
      <c r="U133" s="229"/>
      <c r="V133" s="229"/>
      <c r="W133" s="229"/>
      <c r="X133" s="229"/>
      <c r="Y133" s="229"/>
      <c r="Z133" s="229"/>
      <c r="AA133" s="229"/>
      <c r="AB133" s="229"/>
      <c r="AC133" s="229"/>
      <c r="AD133" s="229"/>
      <c r="AE133" s="229"/>
      <c r="AF133" s="229"/>
      <c r="AG133" s="229"/>
      <c r="AH133" s="229"/>
      <c r="AI133" s="229"/>
      <c r="AJ133" s="229"/>
      <c r="AK133" s="229"/>
      <c r="AL133" s="229"/>
      <c r="AM133" s="229"/>
      <c r="AN133" s="229"/>
      <c r="AO133" s="229"/>
      <c r="AP133" s="229"/>
      <c r="AQ133" s="229"/>
      <c r="AR133" s="229"/>
      <c r="AS133" s="229"/>
      <c r="AT133" s="229"/>
      <c r="AU133" s="229"/>
      <c r="AV133" s="229"/>
      <c r="AW133" s="229"/>
      <c r="AX133" s="229"/>
      <c r="AY133" s="229"/>
      <c r="AZ133" s="229"/>
      <c r="BA133" s="229"/>
      <c r="BB133" s="229"/>
      <c r="BC133" s="229"/>
      <c r="BD133" s="229"/>
      <c r="BE133" s="229"/>
      <c r="BF133" s="229"/>
      <c r="BG133" s="229"/>
      <c r="BH133" s="229"/>
      <c r="BI133" s="229"/>
      <c r="BJ133" s="229"/>
      <c r="BK133" s="229"/>
      <c r="BL133" s="229"/>
      <c r="BM133" s="229"/>
    </row>
    <row r="134" spans="1:73" s="201" customFormat="1" ht="15.75" thickBot="1" x14ac:dyDescent="0.25">
      <c r="A134" s="219"/>
      <c r="B134" s="219"/>
      <c r="C134" s="8" t="s">
        <v>152</v>
      </c>
      <c r="D134" s="9" t="s">
        <v>25</v>
      </c>
      <c r="E134" s="9"/>
      <c r="F134" s="114">
        <f>F137</f>
        <v>-6019316.3530720184</v>
      </c>
      <c r="G134" s="114">
        <f t="shared" ref="G134:BM134" si="264">G137</f>
        <v>-5846243.2003173474</v>
      </c>
      <c r="H134" s="114">
        <f t="shared" si="264"/>
        <v>-5578967.5937748505</v>
      </c>
      <c r="I134" s="114">
        <f t="shared" si="264"/>
        <v>-5273381.5483908094</v>
      </c>
      <c r="J134" s="114">
        <f t="shared" si="264"/>
        <v>-4970662.6081919661</v>
      </c>
      <c r="K134" s="114">
        <f t="shared" si="264"/>
        <v>-4670785.6665210957</v>
      </c>
      <c r="L134" s="114">
        <f t="shared" si="264"/>
        <v>-4373725.8300469564</v>
      </c>
      <c r="M134" s="114">
        <f t="shared" si="264"/>
        <v>-4079458.4169771583</v>
      </c>
      <c r="N134" s="114">
        <f t="shared" si="264"/>
        <v>-3787958.9552859073</v>
      </c>
      <c r="O134" s="114">
        <f t="shared" si="264"/>
        <v>-3499203.1809564922</v>
      </c>
      <c r="P134" s="114">
        <f t="shared" si="264"/>
        <v>-3213167.0362383951</v>
      </c>
      <c r="Q134" s="114">
        <f t="shared" si="264"/>
        <v>-2929826.6679189061</v>
      </c>
      <c r="R134" s="114">
        <f t="shared" si="264"/>
        <v>-2558602.7208061791</v>
      </c>
      <c r="S134" s="114">
        <f t="shared" si="264"/>
        <v>-2175670.0433256994</v>
      </c>
      <c r="T134" s="114">
        <f t="shared" si="264"/>
        <v>-1793339.540960762</v>
      </c>
      <c r="U134" s="114">
        <f t="shared" si="264"/>
        <v>-1411612.0487799586</v>
      </c>
      <c r="V134" s="114">
        <f t="shared" si="264"/>
        <v>-1030488.3827797985</v>
      </c>
      <c r="W134" s="114">
        <f t="shared" si="264"/>
        <v>-649969.34006325295</v>
      </c>
      <c r="X134" s="114">
        <f t="shared" si="264"/>
        <v>-270055.69901681232</v>
      </c>
      <c r="Y134" s="114">
        <f t="shared" si="264"/>
        <v>109251.78051393479</v>
      </c>
      <c r="Z134" s="114">
        <f t="shared" si="264"/>
        <v>487952.35705018713</v>
      </c>
      <c r="AA134" s="114">
        <f t="shared" si="264"/>
        <v>866045.30730726919</v>
      </c>
      <c r="AB134" s="114">
        <f t="shared" si="264"/>
        <v>1243529.926023412</v>
      </c>
      <c r="AC134" s="114">
        <f t="shared" si="264"/>
        <v>1620405.5257899608</v>
      </c>
      <c r="AD134" s="114">
        <f t="shared" si="264"/>
        <v>1996671.4368830023</v>
      </c>
      <c r="AE134" s="114">
        <f t="shared" si="264"/>
        <v>2372327.0070963977</v>
      </c>
      <c r="AF134" s="114">
        <f t="shared" si="264"/>
        <v>2747371.6015762091</v>
      </c>
      <c r="AG134" s="114">
        <f t="shared" si="264"/>
        <v>3121804.6026565107</v>
      </c>
      <c r="AH134" s="114">
        <f t="shared" si="264"/>
        <v>3495625.4096965706</v>
      </c>
      <c r="AI134" s="114">
        <f t="shared" si="264"/>
        <v>3868833.4389193924</v>
      </c>
      <c r="AJ134" s="114">
        <f t="shared" si="264"/>
        <v>4241428.1232516095</v>
      </c>
      <c r="AK134" s="114">
        <f t="shared" si="264"/>
        <v>4613408.9121647142</v>
      </c>
      <c r="AL134" s="114">
        <f t="shared" si="264"/>
        <v>4984775.2715176148</v>
      </c>
      <c r="AM134" s="114">
        <f t="shared" si="264"/>
        <v>5355526.6834005127</v>
      </c>
      <c r="AN134" s="114">
        <f t="shared" si="264"/>
        <v>5725662.6459800797</v>
      </c>
      <c r="AO134" s="114">
        <f t="shared" si="264"/>
        <v>6095182.6733459374</v>
      </c>
      <c r="AP134" s="114">
        <f t="shared" si="264"/>
        <v>6527990.412583854</v>
      </c>
      <c r="AQ134" s="114">
        <f t="shared" si="264"/>
        <v>6969125.8222248293</v>
      </c>
      <c r="AR134" s="114">
        <f t="shared" si="264"/>
        <v>7409463.3164611915</v>
      </c>
      <c r="AS134" s="114">
        <f t="shared" si="264"/>
        <v>7849002.919374099</v>
      </c>
      <c r="AT134" s="114">
        <f t="shared" si="264"/>
        <v>8287744.6691088229</v>
      </c>
      <c r="AU134" s="114">
        <f t="shared" si="264"/>
        <v>8725688.6177315265</v>
      </c>
      <c r="AV134" s="114">
        <f t="shared" si="264"/>
        <v>9162834.8310872614</v>
      </c>
      <c r="AW134" s="114">
        <f t="shared" si="264"/>
        <v>9599183.388659168</v>
      </c>
      <c r="AX134" s="114">
        <f t="shared" si="264"/>
        <v>10034734.383428877</v>
      </c>
      <c r="AY134" s="114">
        <f t="shared" si="264"/>
        <v>10469487.921738088</v>
      </c>
      <c r="AZ134" s="114">
        <f t="shared" si="264"/>
        <v>10903444.123151334</v>
      </c>
      <c r="BA134" s="114">
        <f t="shared" si="264"/>
        <v>11336603.120319903</v>
      </c>
      <c r="BB134" s="114">
        <f t="shared" si="264"/>
        <v>11830993.61001219</v>
      </c>
      <c r="BC134" s="114">
        <f t="shared" si="264"/>
        <v>12333269.210565524</v>
      </c>
      <c r="BD134" s="114">
        <f t="shared" si="264"/>
        <v>12834572.766561592</v>
      </c>
      <c r="BE134" s="114">
        <f t="shared" si="264"/>
        <v>13334904.89632738</v>
      </c>
      <c r="BF134" s="114">
        <f t="shared" si="264"/>
        <v>13834266.229535757</v>
      </c>
      <c r="BG134" s="114">
        <f t="shared" si="264"/>
        <v>14332657.407078866</v>
      </c>
      <c r="BH134" s="114">
        <f t="shared" si="264"/>
        <v>14830079.080942631</v>
      </c>
      <c r="BI134" s="114">
        <f t="shared" si="264"/>
        <v>15326531.914082333</v>
      </c>
      <c r="BJ134" s="114">
        <f t="shared" si="264"/>
        <v>15822016.580299269</v>
      </c>
      <c r="BK134" s="114">
        <f t="shared" si="264"/>
        <v>16316533.764118481</v>
      </c>
      <c r="BL134" s="114">
        <f t="shared" si="264"/>
        <v>16810084.160667539</v>
      </c>
      <c r="BM134" s="114">
        <f t="shared" si="264"/>
        <v>17302668.475556374</v>
      </c>
      <c r="BN134" s="225"/>
      <c r="BO134" s="114">
        <f t="shared" ref="BO134" si="265">SUM(F134:BM134)</f>
        <v>270997249.49136585</v>
      </c>
      <c r="BP134" s="114">
        <f>SUM(F134:Q134)</f>
        <v>-54242697.057691902</v>
      </c>
      <c r="BQ134" s="114">
        <f>SUM(R134:AC134)</f>
        <v>-5562552.8790476974</v>
      </c>
      <c r="BR134" s="114">
        <f>SUM(AD134:AO134)</f>
        <v>48618617.806488559</v>
      </c>
      <c r="BS134" s="114">
        <f>SUM(AP134:BA134)</f>
        <v>107275303.52586895</v>
      </c>
      <c r="BT134" s="114">
        <f>SUM(BB134:BM134)</f>
        <v>174908578.09574795</v>
      </c>
      <c r="BU134" s="114">
        <f>SUM(BP134:BT134)</f>
        <v>270997249.49136585</v>
      </c>
    </row>
    <row r="135" spans="1:73" ht="15.75" outlineLevel="1" thickTop="1" x14ac:dyDescent="0.2">
      <c r="C135" s="225" t="s">
        <v>109</v>
      </c>
      <c r="F135" s="229">
        <f>Результаты!F45/12</f>
        <v>8.3333333333333332E-3</v>
      </c>
      <c r="G135" s="229"/>
      <c r="H135" s="229"/>
      <c r="I135" s="229"/>
      <c r="J135" s="229"/>
      <c r="K135" s="229"/>
      <c r="L135" s="229"/>
      <c r="M135" s="229"/>
      <c r="N135" s="229"/>
      <c r="O135" s="229"/>
      <c r="P135" s="229"/>
      <c r="Q135" s="229"/>
      <c r="R135" s="229"/>
      <c r="S135" s="229"/>
      <c r="T135" s="229"/>
      <c r="U135" s="229"/>
      <c r="V135" s="229"/>
      <c r="W135" s="229"/>
      <c r="X135" s="229"/>
      <c r="Y135" s="229"/>
      <c r="Z135" s="229"/>
      <c r="AA135" s="229"/>
      <c r="AB135" s="229"/>
      <c r="AC135" s="229"/>
      <c r="AD135" s="229"/>
      <c r="AE135" s="229"/>
      <c r="AF135" s="229"/>
      <c r="AG135" s="229"/>
      <c r="AH135" s="229"/>
      <c r="AI135" s="229"/>
      <c r="AJ135" s="229"/>
      <c r="AK135" s="229"/>
      <c r="AL135" s="229"/>
      <c r="AM135" s="229"/>
      <c r="AN135" s="229"/>
      <c r="AO135" s="229"/>
      <c r="AP135" s="229"/>
      <c r="AQ135" s="229"/>
      <c r="AR135" s="229"/>
      <c r="AS135" s="229"/>
      <c r="AT135" s="229"/>
      <c r="AU135" s="229"/>
      <c r="AV135" s="229"/>
      <c r="AW135" s="229"/>
      <c r="AX135" s="229"/>
      <c r="AY135" s="229"/>
      <c r="AZ135" s="229"/>
      <c r="BA135" s="229"/>
      <c r="BB135" s="229"/>
      <c r="BC135" s="229"/>
      <c r="BD135" s="229"/>
      <c r="BE135" s="229"/>
      <c r="BF135" s="229"/>
      <c r="BG135" s="229"/>
      <c r="BH135" s="229"/>
      <c r="BI135" s="229"/>
      <c r="BJ135" s="229"/>
      <c r="BK135" s="229"/>
      <c r="BL135" s="229"/>
      <c r="BM135" s="229"/>
    </row>
    <row r="136" spans="1:73" outlineLevel="1" x14ac:dyDescent="0.2">
      <c r="C136" s="225" t="s">
        <v>105</v>
      </c>
      <c r="F136" s="229">
        <f>F130/(1+$F$135)^(Модель!F10)</f>
        <v>-6019316.3530720184</v>
      </c>
      <c r="G136" s="229">
        <f>G130/(1+$F$135)^(Модель!G10)</f>
        <v>173073.15275467129</v>
      </c>
      <c r="H136" s="229">
        <f>H130/(1+$F$135)^(Модель!H10)</f>
        <v>267275.60654249671</v>
      </c>
      <c r="I136" s="229">
        <f>I130/(1+$F$135)^(Модель!I10)</f>
        <v>305586.04538404144</v>
      </c>
      <c r="J136" s="229">
        <f>J130/(1+$F$135)^(Модель!J10)</f>
        <v>302718.94019884372</v>
      </c>
      <c r="K136" s="229">
        <f>K130/(1+$F$135)^(Модель!K10)</f>
        <v>299876.94167087023</v>
      </c>
      <c r="L136" s="229">
        <f>L130/(1+$F$135)^(Модель!L10)</f>
        <v>297059.83647413965</v>
      </c>
      <c r="M136" s="229">
        <f>M130/(1+$F$135)^(Модель!M10)</f>
        <v>294267.41306979826</v>
      </c>
      <c r="N136" s="229">
        <f>N130/(1+$F$135)^(Модель!N10)</f>
        <v>291499.46169125108</v>
      </c>
      <c r="O136" s="229">
        <f>O130/(1+$F$135)^(Модель!O10)</f>
        <v>288755.77432941529</v>
      </c>
      <c r="P136" s="229">
        <f>P130/(1+$F$135)^(Модель!P10)</f>
        <v>286036.14471809694</v>
      </c>
      <c r="Q136" s="229">
        <f>Q130/(1+$F$135)^(Модель!Q10)</f>
        <v>283340.36831948889</v>
      </c>
      <c r="R136" s="229">
        <f>R130/(1+$F$135)^(Модель!R10)</f>
        <v>371223.9471127268</v>
      </c>
      <c r="S136" s="229">
        <f>S130/(1+$F$135)^(Модель!S10)</f>
        <v>382932.6774804797</v>
      </c>
      <c r="T136" s="229">
        <f>T130/(1+$F$135)^(Модель!T10)</f>
        <v>382330.50236493745</v>
      </c>
      <c r="U136" s="229">
        <f>U130/(1+$F$135)^(Модель!U10)</f>
        <v>381727.49218080333</v>
      </c>
      <c r="V136" s="229">
        <f>V130/(1+$F$135)^(Модель!V10)</f>
        <v>381123.66600016021</v>
      </c>
      <c r="W136" s="229">
        <f>W130/(1+$F$135)^(Модель!W10)</f>
        <v>380519.04271654552</v>
      </c>
      <c r="X136" s="229">
        <f>X130/(1+$F$135)^(Модель!X10)</f>
        <v>379913.64104644064</v>
      </c>
      <c r="Y136" s="229">
        <f>Y130/(1+$F$135)^(Модель!Y10)</f>
        <v>379307.47953074711</v>
      </c>
      <c r="Z136" s="229">
        <f>Z130/(1+$F$135)^(Модель!Z10)</f>
        <v>378700.57653625234</v>
      </c>
      <c r="AA136" s="229">
        <f>AA130/(1+$F$135)^(Модель!AA10)</f>
        <v>378092.95025708206</v>
      </c>
      <c r="AB136" s="229">
        <f>AB130/(1+$F$135)^(Модель!AB10)</f>
        <v>377484.61871614284</v>
      </c>
      <c r="AC136" s="229">
        <f>AC130/(1+$F$135)^(Модель!AC10)</f>
        <v>376875.59976654872</v>
      </c>
      <c r="AD136" s="229">
        <f>AD130/(1+$F$135)^(Модель!AD10)</f>
        <v>376265.91109304148</v>
      </c>
      <c r="AE136" s="229">
        <f>AE130/(1+$F$135)^(Модель!AE10)</f>
        <v>375655.57021339529</v>
      </c>
      <c r="AF136" s="229">
        <f>AF130/(1+$F$135)^(Модель!AF10)</f>
        <v>375044.59447981149</v>
      </c>
      <c r="AG136" s="229">
        <f>AG130/(1+$F$135)^(Модель!AG10)</f>
        <v>374433.00108030165</v>
      </c>
      <c r="AH136" s="229">
        <f>AH130/(1+$F$135)^(Модель!AH10)</f>
        <v>373820.80704005994</v>
      </c>
      <c r="AI136" s="229">
        <f>AI130/(1+$F$135)^(Модель!AI10)</f>
        <v>373208.02922282199</v>
      </c>
      <c r="AJ136" s="229">
        <f>AJ130/(1+$F$135)^(Модель!AJ10)</f>
        <v>372594.68433221744</v>
      </c>
      <c r="AK136" s="229">
        <f>AK130/(1+$F$135)^(Модель!AK10)</f>
        <v>371980.78891310445</v>
      </c>
      <c r="AL136" s="229">
        <f>AL130/(1+$F$135)^(Модель!AL10)</f>
        <v>371366.3593529007</v>
      </c>
      <c r="AM136" s="229">
        <f>AM130/(1+$F$135)^(Модель!AM10)</f>
        <v>370751.41188289755</v>
      </c>
      <c r="AN136" s="229">
        <f>AN130/(1+$F$135)^(Модель!AN10)</f>
        <v>370135.96257956733</v>
      </c>
      <c r="AO136" s="229">
        <f>AO130/(1+$F$135)^(Модель!AO10)</f>
        <v>369520.02736585739</v>
      </c>
      <c r="AP136" s="229">
        <f>AP130/(1+$F$135)^(Модель!AP10)</f>
        <v>432807.73923791642</v>
      </c>
      <c r="AQ136" s="229">
        <f>AQ130/(1+$F$135)^(Модель!AQ10)</f>
        <v>441135.40964097506</v>
      </c>
      <c r="AR136" s="229">
        <f>AR130/(1+$F$135)^(Модель!AR10)</f>
        <v>440337.49423636252</v>
      </c>
      <c r="AS136" s="229">
        <f>AS130/(1+$F$135)^(Модель!AS10)</f>
        <v>439539.60291290743</v>
      </c>
      <c r="AT136" s="229">
        <f>AT130/(1+$F$135)^(Модель!AT10)</f>
        <v>438741.74973472359</v>
      </c>
      <c r="AU136" s="229">
        <f>AU130/(1+$F$135)^(Модель!AU10)</f>
        <v>437943.94862270268</v>
      </c>
      <c r="AV136" s="229">
        <f>AV130/(1+$F$135)^(Модель!AV10)</f>
        <v>437146.21335573407</v>
      </c>
      <c r="AW136" s="229">
        <f>AW130/(1+$F$135)^(Модель!AW10)</f>
        <v>436348.55757190729</v>
      </c>
      <c r="AX136" s="229">
        <f>AX130/(1+$F$135)^(Модель!AX10)</f>
        <v>435550.99476970924</v>
      </c>
      <c r="AY136" s="229">
        <f>AY130/(1+$F$135)^(Модель!AY10)</f>
        <v>434753.53830921149</v>
      </c>
      <c r="AZ136" s="229">
        <f>AZ130/(1+$F$135)^(Модель!AZ10)</f>
        <v>433956.20141324535</v>
      </c>
      <c r="BA136" s="229">
        <f>BA130/(1+$F$135)^(Модель!BA10)</f>
        <v>433158.99716856983</v>
      </c>
      <c r="BB136" s="229">
        <f>BB130/(1+$F$135)^(Модель!BB10)</f>
        <v>494390.48969228822</v>
      </c>
      <c r="BC136" s="229">
        <f>BC130/(1+$F$135)^(Модель!BC10)</f>
        <v>502275.60055333434</v>
      </c>
      <c r="BD136" s="229">
        <f>BD130/(1+$F$135)^(Модель!BD10)</f>
        <v>501303.55599606776</v>
      </c>
      <c r="BE136" s="229">
        <f>BE130/(1+$F$135)^(Модель!BE10)</f>
        <v>500332.12976578868</v>
      </c>
      <c r="BF136" s="229">
        <f>BF130/(1+$F$135)^(Модель!BF10)</f>
        <v>499361.33320837573</v>
      </c>
      <c r="BG136" s="229">
        <f>BG130/(1+$F$135)^(Модель!BG10)</f>
        <v>498391.17754310893</v>
      </c>
      <c r="BH136" s="229">
        <f>BH130/(1+$F$135)^(Модель!BH10)</f>
        <v>497421.67386376532</v>
      </c>
      <c r="BI136" s="229">
        <f>BI130/(1+$F$135)^(Модель!BI10)</f>
        <v>496452.83313970198</v>
      </c>
      <c r="BJ136" s="229">
        <f>BJ130/(1+$F$135)^(Модель!BJ10)</f>
        <v>495484.66621693631</v>
      </c>
      <c r="BK136" s="229">
        <f>BK130/(1+$F$135)^(Модель!BK10)</f>
        <v>494517.18381921173</v>
      </c>
      <c r="BL136" s="229">
        <f>BL130/(1+$F$135)^(Модель!BL10)</f>
        <v>493550.39654905681</v>
      </c>
      <c r="BM136" s="229">
        <f>BM130/(1+$F$135)^(Модель!BM10)</f>
        <v>492584.31488883682</v>
      </c>
      <c r="BO136" s="229"/>
      <c r="BP136" s="107">
        <f>SUM(F136:Q136)</f>
        <v>-2929826.6679189061</v>
      </c>
      <c r="BQ136" s="107">
        <f>SUM(R136:AC136)</f>
        <v>4550232.1937088668</v>
      </c>
      <c r="BR136" s="107">
        <f>SUM(AD136:AO136)</f>
        <v>4474777.1475559771</v>
      </c>
      <c r="BS136" s="107">
        <f>SUM(AP136:BA136)</f>
        <v>5241420.4469739646</v>
      </c>
      <c r="BT136" s="107">
        <f>SUM(BB136:BM136)</f>
        <v>5966065.3552364726</v>
      </c>
      <c r="BU136" s="107">
        <f>SUM(BP136:BT136)</f>
        <v>17302668.475556374</v>
      </c>
    </row>
    <row r="137" spans="1:73" outlineLevel="1" x14ac:dyDescent="0.2">
      <c r="C137" s="225" t="s">
        <v>108</v>
      </c>
      <c r="F137" s="229">
        <f>F136</f>
        <v>-6019316.3530720184</v>
      </c>
      <c r="G137" s="229">
        <f>F137+G136</f>
        <v>-5846243.2003173474</v>
      </c>
      <c r="H137" s="229">
        <f t="shared" ref="H137:BM137" si="266">G137+H136</f>
        <v>-5578967.5937748505</v>
      </c>
      <c r="I137" s="229">
        <f t="shared" si="266"/>
        <v>-5273381.5483908094</v>
      </c>
      <c r="J137" s="229">
        <f t="shared" si="266"/>
        <v>-4970662.6081919661</v>
      </c>
      <c r="K137" s="229">
        <f t="shared" si="266"/>
        <v>-4670785.6665210957</v>
      </c>
      <c r="L137" s="229">
        <f t="shared" si="266"/>
        <v>-4373725.8300469564</v>
      </c>
      <c r="M137" s="229">
        <f t="shared" si="266"/>
        <v>-4079458.4169771583</v>
      </c>
      <c r="N137" s="229">
        <f t="shared" si="266"/>
        <v>-3787958.9552859073</v>
      </c>
      <c r="O137" s="229">
        <f t="shared" si="266"/>
        <v>-3499203.1809564922</v>
      </c>
      <c r="P137" s="229">
        <f t="shared" si="266"/>
        <v>-3213167.0362383951</v>
      </c>
      <c r="Q137" s="229">
        <f t="shared" si="266"/>
        <v>-2929826.6679189061</v>
      </c>
      <c r="R137" s="229">
        <f t="shared" si="266"/>
        <v>-2558602.7208061791</v>
      </c>
      <c r="S137" s="229">
        <f t="shared" si="266"/>
        <v>-2175670.0433256994</v>
      </c>
      <c r="T137" s="229">
        <f t="shared" si="266"/>
        <v>-1793339.540960762</v>
      </c>
      <c r="U137" s="229">
        <f t="shared" si="266"/>
        <v>-1411612.0487799586</v>
      </c>
      <c r="V137" s="229">
        <f t="shared" si="266"/>
        <v>-1030488.3827797985</v>
      </c>
      <c r="W137" s="229">
        <f t="shared" si="266"/>
        <v>-649969.34006325295</v>
      </c>
      <c r="X137" s="229">
        <f t="shared" si="266"/>
        <v>-270055.69901681232</v>
      </c>
      <c r="Y137" s="229">
        <f t="shared" si="266"/>
        <v>109251.78051393479</v>
      </c>
      <c r="Z137" s="229">
        <f t="shared" si="266"/>
        <v>487952.35705018713</v>
      </c>
      <c r="AA137" s="229">
        <f t="shared" si="266"/>
        <v>866045.30730726919</v>
      </c>
      <c r="AB137" s="229">
        <f t="shared" si="266"/>
        <v>1243529.926023412</v>
      </c>
      <c r="AC137" s="229">
        <f t="shared" si="266"/>
        <v>1620405.5257899608</v>
      </c>
      <c r="AD137" s="229">
        <f t="shared" si="266"/>
        <v>1996671.4368830023</v>
      </c>
      <c r="AE137" s="229">
        <f t="shared" si="266"/>
        <v>2372327.0070963977</v>
      </c>
      <c r="AF137" s="229">
        <f t="shared" si="266"/>
        <v>2747371.6015762091</v>
      </c>
      <c r="AG137" s="229">
        <f t="shared" si="266"/>
        <v>3121804.6026565107</v>
      </c>
      <c r="AH137" s="229">
        <f t="shared" si="266"/>
        <v>3495625.4096965706</v>
      </c>
      <c r="AI137" s="229">
        <f t="shared" si="266"/>
        <v>3868833.4389193924</v>
      </c>
      <c r="AJ137" s="229">
        <f t="shared" si="266"/>
        <v>4241428.1232516095</v>
      </c>
      <c r="AK137" s="229">
        <f t="shared" si="266"/>
        <v>4613408.9121647142</v>
      </c>
      <c r="AL137" s="229">
        <f t="shared" si="266"/>
        <v>4984775.2715176148</v>
      </c>
      <c r="AM137" s="229">
        <f t="shared" si="266"/>
        <v>5355526.6834005127</v>
      </c>
      <c r="AN137" s="229">
        <f t="shared" si="266"/>
        <v>5725662.6459800797</v>
      </c>
      <c r="AO137" s="229">
        <f t="shared" si="266"/>
        <v>6095182.6733459374</v>
      </c>
      <c r="AP137" s="229">
        <f t="shared" si="266"/>
        <v>6527990.412583854</v>
      </c>
      <c r="AQ137" s="229">
        <f t="shared" si="266"/>
        <v>6969125.8222248293</v>
      </c>
      <c r="AR137" s="229">
        <f t="shared" si="266"/>
        <v>7409463.3164611915</v>
      </c>
      <c r="AS137" s="229">
        <f t="shared" si="266"/>
        <v>7849002.919374099</v>
      </c>
      <c r="AT137" s="229">
        <f t="shared" si="266"/>
        <v>8287744.6691088229</v>
      </c>
      <c r="AU137" s="229">
        <f t="shared" si="266"/>
        <v>8725688.6177315265</v>
      </c>
      <c r="AV137" s="229">
        <f t="shared" si="266"/>
        <v>9162834.8310872614</v>
      </c>
      <c r="AW137" s="229">
        <f t="shared" si="266"/>
        <v>9599183.388659168</v>
      </c>
      <c r="AX137" s="229">
        <f t="shared" si="266"/>
        <v>10034734.383428877</v>
      </c>
      <c r="AY137" s="229">
        <f t="shared" si="266"/>
        <v>10469487.921738088</v>
      </c>
      <c r="AZ137" s="229">
        <f t="shared" si="266"/>
        <v>10903444.123151334</v>
      </c>
      <c r="BA137" s="229">
        <f t="shared" si="266"/>
        <v>11336603.120319903</v>
      </c>
      <c r="BB137" s="229">
        <f t="shared" si="266"/>
        <v>11830993.61001219</v>
      </c>
      <c r="BC137" s="229">
        <f t="shared" si="266"/>
        <v>12333269.210565524</v>
      </c>
      <c r="BD137" s="229">
        <f t="shared" si="266"/>
        <v>12834572.766561592</v>
      </c>
      <c r="BE137" s="229">
        <f t="shared" si="266"/>
        <v>13334904.89632738</v>
      </c>
      <c r="BF137" s="229">
        <f t="shared" si="266"/>
        <v>13834266.229535757</v>
      </c>
      <c r="BG137" s="229">
        <f t="shared" si="266"/>
        <v>14332657.407078866</v>
      </c>
      <c r="BH137" s="229">
        <f t="shared" si="266"/>
        <v>14830079.080942631</v>
      </c>
      <c r="BI137" s="229">
        <f t="shared" si="266"/>
        <v>15326531.914082333</v>
      </c>
      <c r="BJ137" s="229">
        <f t="shared" si="266"/>
        <v>15822016.580299269</v>
      </c>
      <c r="BK137" s="229">
        <f t="shared" si="266"/>
        <v>16316533.764118481</v>
      </c>
      <c r="BL137" s="229">
        <f t="shared" si="266"/>
        <v>16810084.160667539</v>
      </c>
      <c r="BM137" s="229">
        <f t="shared" si="266"/>
        <v>17302668.475556374</v>
      </c>
      <c r="BO137" s="229"/>
      <c r="BP137" s="107">
        <f>SUM(F137:Q137)</f>
        <v>-54242697.057691902</v>
      </c>
      <c r="BQ137" s="107">
        <f>SUM(R137:AC137)</f>
        <v>-5562552.8790476974</v>
      </c>
      <c r="BR137" s="107">
        <f>SUM(AD137:AO137)</f>
        <v>48618617.806488559</v>
      </c>
      <c r="BS137" s="107">
        <f>SUM(AP137:BA137)</f>
        <v>107275303.52586895</v>
      </c>
      <c r="BT137" s="107">
        <f>SUM(BB137:BM137)</f>
        <v>174908578.09574795</v>
      </c>
      <c r="BU137" s="107">
        <f>SUM(BP137:BT137)</f>
        <v>270997249.49136585</v>
      </c>
    </row>
    <row r="138" spans="1:73" outlineLevel="1" x14ac:dyDescent="0.2">
      <c r="D138" s="226">
        <f>SUM(F138:BM138)</f>
        <v>19</v>
      </c>
      <c r="E138" s="246">
        <f>D138/12</f>
        <v>1.5833333333333333</v>
      </c>
      <c r="F138" s="229">
        <f t="shared" ref="F138:AK138" si="267">IF(F137&lt;0,F5,0)</f>
        <v>1</v>
      </c>
      <c r="G138" s="229">
        <f t="shared" si="267"/>
        <v>1</v>
      </c>
      <c r="H138" s="229">
        <f t="shared" si="267"/>
        <v>1</v>
      </c>
      <c r="I138" s="229">
        <f t="shared" si="267"/>
        <v>1</v>
      </c>
      <c r="J138" s="229">
        <f t="shared" si="267"/>
        <v>1</v>
      </c>
      <c r="K138" s="229">
        <f t="shared" si="267"/>
        <v>1</v>
      </c>
      <c r="L138" s="229">
        <f t="shared" si="267"/>
        <v>1</v>
      </c>
      <c r="M138" s="229">
        <f t="shared" si="267"/>
        <v>1</v>
      </c>
      <c r="N138" s="229">
        <f t="shared" si="267"/>
        <v>1</v>
      </c>
      <c r="O138" s="229">
        <f t="shared" si="267"/>
        <v>1</v>
      </c>
      <c r="P138" s="229">
        <f t="shared" si="267"/>
        <v>1</v>
      </c>
      <c r="Q138" s="229">
        <f t="shared" si="267"/>
        <v>1</v>
      </c>
      <c r="R138" s="229">
        <f t="shared" si="267"/>
        <v>1</v>
      </c>
      <c r="S138" s="229">
        <f t="shared" si="267"/>
        <v>1</v>
      </c>
      <c r="T138" s="229">
        <f t="shared" si="267"/>
        <v>1</v>
      </c>
      <c r="U138" s="229">
        <f t="shared" si="267"/>
        <v>1</v>
      </c>
      <c r="V138" s="229">
        <f t="shared" si="267"/>
        <v>1</v>
      </c>
      <c r="W138" s="229">
        <f t="shared" si="267"/>
        <v>1</v>
      </c>
      <c r="X138" s="229">
        <f t="shared" si="267"/>
        <v>1</v>
      </c>
      <c r="Y138" s="229">
        <f t="shared" si="267"/>
        <v>0</v>
      </c>
      <c r="Z138" s="229">
        <f t="shared" si="267"/>
        <v>0</v>
      </c>
      <c r="AA138" s="229">
        <f t="shared" si="267"/>
        <v>0</v>
      </c>
      <c r="AB138" s="229">
        <f t="shared" si="267"/>
        <v>0</v>
      </c>
      <c r="AC138" s="229">
        <f t="shared" si="267"/>
        <v>0</v>
      </c>
      <c r="AD138" s="229">
        <f t="shared" si="267"/>
        <v>0</v>
      </c>
      <c r="AE138" s="229">
        <f t="shared" si="267"/>
        <v>0</v>
      </c>
      <c r="AF138" s="229">
        <f t="shared" si="267"/>
        <v>0</v>
      </c>
      <c r="AG138" s="229">
        <f t="shared" si="267"/>
        <v>0</v>
      </c>
      <c r="AH138" s="229">
        <f t="shared" si="267"/>
        <v>0</v>
      </c>
      <c r="AI138" s="229">
        <f t="shared" si="267"/>
        <v>0</v>
      </c>
      <c r="AJ138" s="229">
        <f t="shared" si="267"/>
        <v>0</v>
      </c>
      <c r="AK138" s="229">
        <f t="shared" si="267"/>
        <v>0</v>
      </c>
      <c r="AL138" s="229">
        <f t="shared" ref="AL138:BM138" si="268">IF(AL137&lt;0,AL5,0)</f>
        <v>0</v>
      </c>
      <c r="AM138" s="229">
        <f t="shared" si="268"/>
        <v>0</v>
      </c>
      <c r="AN138" s="229">
        <f t="shared" si="268"/>
        <v>0</v>
      </c>
      <c r="AO138" s="229">
        <f t="shared" si="268"/>
        <v>0</v>
      </c>
      <c r="AP138" s="229">
        <f t="shared" si="268"/>
        <v>0</v>
      </c>
      <c r="AQ138" s="229">
        <f t="shared" si="268"/>
        <v>0</v>
      </c>
      <c r="AR138" s="229">
        <f t="shared" si="268"/>
        <v>0</v>
      </c>
      <c r="AS138" s="229">
        <f t="shared" si="268"/>
        <v>0</v>
      </c>
      <c r="AT138" s="229">
        <f t="shared" si="268"/>
        <v>0</v>
      </c>
      <c r="AU138" s="229">
        <f t="shared" si="268"/>
        <v>0</v>
      </c>
      <c r="AV138" s="229">
        <f t="shared" si="268"/>
        <v>0</v>
      </c>
      <c r="AW138" s="229">
        <f t="shared" si="268"/>
        <v>0</v>
      </c>
      <c r="AX138" s="229">
        <f t="shared" si="268"/>
        <v>0</v>
      </c>
      <c r="AY138" s="229">
        <f t="shared" si="268"/>
        <v>0</v>
      </c>
      <c r="AZ138" s="229">
        <f t="shared" si="268"/>
        <v>0</v>
      </c>
      <c r="BA138" s="229">
        <f t="shared" si="268"/>
        <v>0</v>
      </c>
      <c r="BB138" s="229">
        <f t="shared" si="268"/>
        <v>0</v>
      </c>
      <c r="BC138" s="229">
        <f t="shared" si="268"/>
        <v>0</v>
      </c>
      <c r="BD138" s="229">
        <f t="shared" si="268"/>
        <v>0</v>
      </c>
      <c r="BE138" s="229">
        <f t="shared" si="268"/>
        <v>0</v>
      </c>
      <c r="BF138" s="229">
        <f t="shared" si="268"/>
        <v>0</v>
      </c>
      <c r="BG138" s="229">
        <f t="shared" si="268"/>
        <v>0</v>
      </c>
      <c r="BH138" s="229">
        <f t="shared" si="268"/>
        <v>0</v>
      </c>
      <c r="BI138" s="229">
        <f t="shared" si="268"/>
        <v>0</v>
      </c>
      <c r="BJ138" s="229">
        <f t="shared" si="268"/>
        <v>0</v>
      </c>
      <c r="BK138" s="229">
        <f t="shared" si="268"/>
        <v>0</v>
      </c>
      <c r="BL138" s="229">
        <f t="shared" si="268"/>
        <v>0</v>
      </c>
      <c r="BM138" s="229">
        <f t="shared" si="268"/>
        <v>0</v>
      </c>
    </row>
    <row r="139" spans="1:73" x14ac:dyDescent="0.2">
      <c r="BP139" s="229"/>
      <c r="BQ139" s="229"/>
      <c r="BR139" s="229"/>
      <c r="BS139" s="229"/>
      <c r="BT139" s="229"/>
      <c r="BU139" s="229"/>
    </row>
    <row r="141" spans="1:73" x14ac:dyDescent="0.2">
      <c r="C141" s="44"/>
    </row>
    <row r="142" spans="1:73" x14ac:dyDescent="0.2">
      <c r="D142" s="253"/>
      <c r="E142" s="232"/>
    </row>
    <row r="143" spans="1:73" x14ac:dyDescent="0.2">
      <c r="D143" s="253"/>
      <c r="E143" s="232"/>
    </row>
    <row r="144" spans="1:73" x14ac:dyDescent="0.2">
      <c r="D144" s="253"/>
      <c r="E144" s="232"/>
    </row>
    <row r="145" spans="3:68" x14ac:dyDescent="0.2">
      <c r="D145" s="253"/>
      <c r="E145" s="232"/>
    </row>
    <row r="146" spans="3:68" x14ac:dyDescent="0.2">
      <c r="D146" s="253"/>
      <c r="E146" s="232"/>
    </row>
    <row r="147" spans="3:68" x14ac:dyDescent="0.2">
      <c r="D147" s="253"/>
      <c r="E147" s="232"/>
    </row>
    <row r="148" spans="3:68" x14ac:dyDescent="0.2">
      <c r="D148" s="253"/>
      <c r="E148" s="232"/>
    </row>
    <row r="155" spans="3:68" x14ac:dyDescent="0.2">
      <c r="C155" s="44"/>
    </row>
    <row r="156" spans="3:68" x14ac:dyDescent="0.2">
      <c r="D156" s="254"/>
      <c r="E156" s="232"/>
      <c r="BP156" s="229"/>
    </row>
    <row r="157" spans="3:68" x14ac:dyDescent="0.2">
      <c r="D157" s="254"/>
      <c r="E157" s="232"/>
      <c r="BP157" s="229"/>
    </row>
    <row r="158" spans="3:68" x14ac:dyDescent="0.2">
      <c r="D158" s="254"/>
      <c r="E158" s="232"/>
      <c r="BP158" s="229"/>
    </row>
    <row r="159" spans="3:68" x14ac:dyDescent="0.2">
      <c r="D159" s="254"/>
      <c r="E159" s="232"/>
      <c r="BP159" s="229"/>
    </row>
    <row r="160" spans="3:68" x14ac:dyDescent="0.2">
      <c r="D160" s="254"/>
      <c r="E160" s="232"/>
      <c r="BP160" s="229"/>
    </row>
    <row r="161" spans="4:68" x14ac:dyDescent="0.2">
      <c r="D161" s="254"/>
      <c r="E161" s="232"/>
      <c r="BP161" s="229"/>
    </row>
    <row r="162" spans="4:68" x14ac:dyDescent="0.2">
      <c r="D162" s="254"/>
      <c r="E162" s="232"/>
      <c r="BP162" s="229"/>
    </row>
    <row r="163" spans="4:68" x14ac:dyDescent="0.2">
      <c r="D163" s="254"/>
      <c r="E163" s="232"/>
      <c r="BP163" s="229"/>
    </row>
    <row r="164" spans="4:68" x14ac:dyDescent="0.2">
      <c r="D164" s="254"/>
      <c r="E164" s="232"/>
      <c r="BP164" s="229"/>
    </row>
    <row r="165" spans="4:68" x14ac:dyDescent="0.2">
      <c r="D165" s="254"/>
      <c r="E165" s="232"/>
      <c r="BP165" s="229"/>
    </row>
    <row r="166" spans="4:68" x14ac:dyDescent="0.2">
      <c r="D166" s="254"/>
      <c r="E166" s="232"/>
      <c r="BP166" s="229"/>
    </row>
    <row r="167" spans="4:68" x14ac:dyDescent="0.2">
      <c r="D167" s="254"/>
      <c r="E167" s="232"/>
      <c r="BP167" s="229"/>
    </row>
    <row r="168" spans="4:68" x14ac:dyDescent="0.2">
      <c r="D168" s="254"/>
      <c r="E168" s="232"/>
      <c r="BP168" s="229"/>
    </row>
    <row r="169" spans="4:68" x14ac:dyDescent="0.2">
      <c r="D169" s="254"/>
      <c r="E169" s="232"/>
      <c r="BP169" s="229"/>
    </row>
    <row r="170" spans="4:68" x14ac:dyDescent="0.2">
      <c r="D170" s="254"/>
      <c r="E170" s="232"/>
      <c r="BP170" s="229"/>
    </row>
    <row r="171" spans="4:68" x14ac:dyDescent="0.2">
      <c r="D171" s="254"/>
      <c r="E171" s="232"/>
      <c r="BP171" s="229"/>
    </row>
    <row r="172" spans="4:68" x14ac:dyDescent="0.2">
      <c r="D172" s="254"/>
      <c r="E172" s="232"/>
      <c r="BP172" s="229"/>
    </row>
    <row r="173" spans="4:68" x14ac:dyDescent="0.2">
      <c r="D173" s="254"/>
      <c r="E173" s="232"/>
      <c r="BP173" s="229"/>
    </row>
    <row r="174" spans="4:68" x14ac:dyDescent="0.2">
      <c r="D174" s="254"/>
      <c r="E174" s="232"/>
      <c r="BP174" s="229"/>
    </row>
    <row r="177" spans="3:5" x14ac:dyDescent="0.2">
      <c r="C177" s="44"/>
    </row>
    <row r="178" spans="3:5" x14ac:dyDescent="0.2">
      <c r="D178" s="254"/>
      <c r="E178" s="232"/>
    </row>
    <row r="179" spans="3:5" x14ac:dyDescent="0.2">
      <c r="D179" s="254"/>
      <c r="E179" s="232"/>
    </row>
    <row r="180" spans="3:5" x14ac:dyDescent="0.2">
      <c r="D180" s="254"/>
      <c r="E180" s="232"/>
    </row>
    <row r="181" spans="3:5" x14ac:dyDescent="0.2">
      <c r="D181" s="254"/>
      <c r="E181" s="232"/>
    </row>
    <row r="182" spans="3:5" x14ac:dyDescent="0.2">
      <c r="D182" s="254"/>
      <c r="E182" s="232"/>
    </row>
    <row r="183" spans="3:5" x14ac:dyDescent="0.2">
      <c r="D183" s="254"/>
      <c r="E183" s="232"/>
    </row>
    <row r="184" spans="3:5" x14ac:dyDescent="0.2">
      <c r="D184" s="254"/>
      <c r="E184" s="232"/>
    </row>
    <row r="185" spans="3:5" x14ac:dyDescent="0.2">
      <c r="D185" s="254"/>
      <c r="E185" s="232"/>
    </row>
    <row r="186" spans="3:5" x14ac:dyDescent="0.2">
      <c r="D186" s="254"/>
      <c r="E186" s="232"/>
    </row>
    <row r="187" spans="3:5" x14ac:dyDescent="0.2">
      <c r="D187" s="254"/>
      <c r="E187" s="232"/>
    </row>
    <row r="188" spans="3:5" x14ac:dyDescent="0.2">
      <c r="D188" s="254"/>
      <c r="E188" s="232"/>
    </row>
    <row r="189" spans="3:5" x14ac:dyDescent="0.2">
      <c r="D189" s="254"/>
      <c r="E189" s="232"/>
    </row>
    <row r="190" spans="3:5" x14ac:dyDescent="0.2">
      <c r="D190" s="254"/>
      <c r="E190" s="232"/>
    </row>
    <row r="191" spans="3:5" x14ac:dyDescent="0.2">
      <c r="D191" s="254"/>
      <c r="E191" s="232"/>
    </row>
    <row r="192" spans="3:5" x14ac:dyDescent="0.2">
      <c r="D192" s="254"/>
      <c r="E192" s="232"/>
    </row>
    <row r="193" spans="4:5" x14ac:dyDescent="0.2">
      <c r="D193" s="254"/>
      <c r="E193" s="232"/>
    </row>
    <row r="194" spans="4:5" x14ac:dyDescent="0.2">
      <c r="D194" s="254"/>
      <c r="E194" s="232"/>
    </row>
    <row r="195" spans="4:5" x14ac:dyDescent="0.2">
      <c r="D195" s="254"/>
      <c r="E195" s="232"/>
    </row>
    <row r="196" spans="4:5" x14ac:dyDescent="0.2">
      <c r="D196" s="254"/>
      <c r="E196" s="232"/>
    </row>
  </sheetData>
  <hyperlinks>
    <hyperlink ref="D1" r:id="rId1" xr:uid="{971A8BC9-E989-45EC-A8FA-E9F861CBFEE6}"/>
  </hyperlinks>
  <pageMargins left="0.7" right="0.7" top="0.75" bottom="0.75" header="0.3" footer="0.3"/>
  <pageSetup paperSize="9" orientation="portrait" r:id="rId2"/>
  <drawing r:id="rId3"/>
  <legacy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</sheetPr>
  <dimension ref="A1:BH65"/>
  <sheetViews>
    <sheetView topLeftCell="A46" zoomScale="85" zoomScaleNormal="85" workbookViewId="0">
      <selection activeCell="G50" sqref="G50"/>
    </sheetView>
  </sheetViews>
  <sheetFormatPr defaultColWidth="9.14453125" defaultRowHeight="15" x14ac:dyDescent="0.2"/>
  <cols>
    <col min="1" max="1" width="8.47265625" style="133" customWidth="1"/>
    <col min="2" max="2" width="1.34375" style="125" customWidth="1"/>
    <col min="3" max="3" width="36.453125" style="129" customWidth="1"/>
    <col min="4" max="4" width="16.0078125" style="129" customWidth="1"/>
    <col min="5" max="5" width="13.98828125" style="129" customWidth="1"/>
    <col min="6" max="6" width="14.390625" style="129" bestFit="1" customWidth="1"/>
    <col min="7" max="9" width="13.98828125" style="129" bestFit="1" customWidth="1"/>
    <col min="10" max="10" width="4.70703125" style="128" customWidth="1"/>
    <col min="11" max="12" width="9.14453125" style="128"/>
    <col min="13" max="18" width="9.14453125" style="129"/>
    <col min="19" max="26" width="0" style="129" hidden="1" customWidth="1"/>
    <col min="27" max="27" width="0" style="130" hidden="1" customWidth="1"/>
    <col min="28" max="28" width="0" style="78" hidden="1" customWidth="1"/>
    <col min="29" max="29" width="23.40625" style="78" hidden="1" customWidth="1"/>
    <col min="30" max="30" width="10.89453125" style="78" hidden="1" customWidth="1"/>
    <col min="31" max="31" width="0" style="78" hidden="1" customWidth="1"/>
    <col min="32" max="32" width="0" style="182" hidden="1" customWidth="1"/>
    <col min="33" max="33" width="0" style="156" hidden="1" customWidth="1"/>
    <col min="34" max="37" width="0" style="129" hidden="1" customWidth="1"/>
    <col min="38" max="16384" width="9.14453125" style="129"/>
  </cols>
  <sheetData>
    <row r="1" spans="1:60" s="120" customFormat="1" x14ac:dyDescent="0.2">
      <c r="A1" s="117"/>
      <c r="B1" s="117"/>
      <c r="C1" s="118" t="s">
        <v>22</v>
      </c>
      <c r="D1" s="85" t="s">
        <v>140</v>
      </c>
      <c r="E1" s="119"/>
      <c r="J1" s="121"/>
      <c r="K1" s="121"/>
      <c r="L1" s="121"/>
      <c r="AA1" s="122"/>
      <c r="AB1" s="78"/>
      <c r="AC1" s="78"/>
      <c r="AD1" s="78"/>
      <c r="AE1" s="78"/>
      <c r="AF1" s="123"/>
      <c r="AG1" s="124"/>
    </row>
    <row r="2" spans="1:60" s="126" customFormat="1" x14ac:dyDescent="0.2">
      <c r="A2" s="125"/>
      <c r="B2" s="125"/>
      <c r="D2" s="127"/>
      <c r="E2" s="127"/>
      <c r="J2" s="128"/>
      <c r="K2" s="128"/>
      <c r="L2" s="128"/>
      <c r="M2" s="129"/>
      <c r="N2" s="129"/>
      <c r="O2" s="129"/>
      <c r="P2" s="129"/>
      <c r="Q2" s="129"/>
      <c r="R2" s="129"/>
      <c r="S2" s="129"/>
      <c r="T2" s="129"/>
      <c r="U2" s="129"/>
      <c r="V2" s="129"/>
      <c r="W2" s="129"/>
      <c r="X2" s="129"/>
      <c r="Y2" s="129"/>
      <c r="Z2" s="129"/>
      <c r="AA2" s="130"/>
      <c r="AB2" s="78"/>
      <c r="AC2" s="78"/>
      <c r="AD2" s="78"/>
      <c r="AE2" s="78"/>
      <c r="AF2" s="131"/>
      <c r="AG2" s="132"/>
      <c r="AL2" s="129"/>
      <c r="AM2" s="129"/>
      <c r="AN2" s="129"/>
      <c r="AO2" s="129"/>
      <c r="AP2" s="129"/>
      <c r="AQ2" s="129"/>
      <c r="AR2" s="129"/>
      <c r="AS2" s="129"/>
      <c r="AT2" s="129"/>
      <c r="AU2" s="129"/>
      <c r="AV2" s="129"/>
      <c r="AW2" s="129"/>
      <c r="AX2" s="129"/>
      <c r="AY2" s="129"/>
      <c r="AZ2" s="129"/>
      <c r="BA2" s="129"/>
      <c r="BB2" s="129"/>
      <c r="BC2" s="129"/>
      <c r="BD2" s="129"/>
      <c r="BE2" s="129"/>
      <c r="BF2" s="129"/>
      <c r="BG2" s="129"/>
      <c r="BH2" s="129"/>
    </row>
    <row r="3" spans="1:60" s="98" customFormat="1" x14ac:dyDescent="0.2">
      <c r="A3" s="183"/>
      <c r="B3" s="184"/>
      <c r="C3" s="90" t="s">
        <v>200</v>
      </c>
      <c r="D3" s="91"/>
      <c r="E3" s="91"/>
      <c r="F3" s="90"/>
      <c r="G3" s="90"/>
      <c r="H3" s="90"/>
      <c r="I3" s="90"/>
      <c r="J3" s="185"/>
      <c r="K3" s="186"/>
      <c r="L3" s="186"/>
      <c r="M3" s="187"/>
      <c r="N3" s="187"/>
      <c r="O3" s="187"/>
      <c r="P3" s="187"/>
      <c r="Q3" s="187"/>
      <c r="R3" s="187"/>
      <c r="S3" s="187"/>
      <c r="T3" s="187"/>
      <c r="U3" s="187"/>
      <c r="V3" s="187"/>
      <c r="W3" s="187"/>
      <c r="X3" s="187"/>
      <c r="Y3" s="187"/>
      <c r="Z3" s="187"/>
      <c r="AA3" s="188"/>
      <c r="AL3" s="189"/>
      <c r="AM3" s="187"/>
      <c r="AN3" s="187"/>
      <c r="AO3" s="187"/>
      <c r="AP3" s="187"/>
      <c r="AQ3" s="187"/>
      <c r="AR3" s="187"/>
      <c r="AS3" s="187"/>
      <c r="AT3" s="187"/>
      <c r="AU3" s="187"/>
      <c r="AV3" s="187"/>
      <c r="AW3" s="187"/>
      <c r="AX3" s="187"/>
      <c r="AY3" s="187"/>
      <c r="AZ3" s="187"/>
      <c r="BA3" s="187"/>
      <c r="BB3" s="187"/>
      <c r="BC3" s="187"/>
      <c r="BD3" s="187"/>
      <c r="BE3" s="187"/>
      <c r="BF3" s="187"/>
      <c r="BG3" s="187"/>
      <c r="BH3" s="188"/>
    </row>
    <row r="4" spans="1:60" s="83" customFormat="1" ht="7.5" customHeight="1" x14ac:dyDescent="0.2">
      <c r="A4" s="133"/>
      <c r="B4" s="134"/>
      <c r="D4" s="86"/>
      <c r="E4" s="86"/>
      <c r="J4" s="135"/>
      <c r="K4" s="128"/>
      <c r="L4" s="128"/>
      <c r="M4" s="129"/>
      <c r="N4" s="129"/>
      <c r="O4" s="129"/>
      <c r="P4" s="129"/>
      <c r="Q4" s="129"/>
      <c r="R4" s="129"/>
      <c r="S4" s="129"/>
      <c r="T4" s="129"/>
      <c r="U4" s="129"/>
      <c r="V4" s="129"/>
      <c r="W4" s="129"/>
      <c r="X4" s="129"/>
      <c r="Y4" s="129"/>
      <c r="Z4" s="129"/>
      <c r="AA4" s="130"/>
      <c r="AB4" s="78"/>
      <c r="AC4" s="78"/>
      <c r="AD4" s="78"/>
      <c r="AE4" s="78"/>
      <c r="AF4" s="78"/>
      <c r="AG4" s="78"/>
      <c r="AL4" s="136"/>
      <c r="AM4" s="129"/>
      <c r="AN4" s="129"/>
      <c r="AO4" s="129"/>
      <c r="AP4" s="129"/>
      <c r="AQ4" s="129"/>
      <c r="AR4" s="129"/>
      <c r="AS4" s="129"/>
      <c r="AT4" s="129"/>
      <c r="AU4" s="129"/>
      <c r="AV4" s="129"/>
      <c r="AW4" s="129"/>
      <c r="AX4" s="129"/>
      <c r="AY4" s="129"/>
      <c r="AZ4" s="129"/>
      <c r="BA4" s="129"/>
      <c r="BB4" s="129"/>
      <c r="BC4" s="129"/>
      <c r="BD4" s="129"/>
      <c r="BE4" s="129"/>
      <c r="BF4" s="129"/>
      <c r="BG4" s="129"/>
      <c r="BH4" s="130"/>
    </row>
    <row r="5" spans="1:60" s="83" customFormat="1" x14ac:dyDescent="0.2">
      <c r="A5" s="133"/>
      <c r="B5" s="134"/>
      <c r="C5" s="32" t="s">
        <v>267</v>
      </c>
      <c r="D5" s="24">
        <v>1</v>
      </c>
      <c r="E5" s="24">
        <v>2</v>
      </c>
      <c r="F5" s="24">
        <v>3</v>
      </c>
      <c r="G5" s="24">
        <v>4</v>
      </c>
      <c r="H5" s="24">
        <v>5</v>
      </c>
      <c r="I5" s="24" t="s">
        <v>3</v>
      </c>
      <c r="J5" s="135"/>
      <c r="K5" s="128"/>
      <c r="L5" s="128"/>
      <c r="M5" s="129"/>
      <c r="N5" s="129"/>
      <c r="O5" s="129"/>
      <c r="P5" s="129"/>
      <c r="Q5" s="129"/>
      <c r="R5" s="129"/>
      <c r="S5" s="129"/>
      <c r="T5" s="129"/>
      <c r="U5" s="129"/>
      <c r="V5" s="129"/>
      <c r="W5" s="129"/>
      <c r="X5" s="129"/>
      <c r="Y5" s="129"/>
      <c r="Z5" s="129"/>
      <c r="AA5" s="130"/>
      <c r="AB5" s="78"/>
      <c r="AC5" s="78"/>
      <c r="AD5" s="78"/>
      <c r="AE5" s="78"/>
      <c r="AF5" s="78"/>
      <c r="AG5" s="78"/>
      <c r="AL5" s="136"/>
      <c r="AM5" s="129"/>
      <c r="AN5" s="129"/>
      <c r="AO5" s="129"/>
      <c r="AP5" s="129"/>
      <c r="AQ5" s="129"/>
      <c r="AR5" s="129"/>
      <c r="AS5" s="129"/>
      <c r="AT5" s="129"/>
      <c r="AU5" s="129"/>
      <c r="AV5" s="129"/>
      <c r="AW5" s="129"/>
      <c r="AX5" s="129"/>
      <c r="AY5" s="129"/>
      <c r="AZ5" s="129"/>
      <c r="BA5" s="129"/>
      <c r="BB5" s="129"/>
      <c r="BC5" s="129"/>
      <c r="BD5" s="129"/>
      <c r="BE5" s="129"/>
      <c r="BF5" s="129"/>
      <c r="BG5" s="129"/>
      <c r="BH5" s="130"/>
    </row>
    <row r="6" spans="1:60" s="83" customFormat="1" ht="15.75" thickBot="1" x14ac:dyDescent="0.25">
      <c r="A6" s="133"/>
      <c r="B6" s="134"/>
      <c r="C6" s="52" t="s">
        <v>153</v>
      </c>
      <c r="D6" s="53">
        <f t="shared" ref="D6:I6" si="0">SUM(D7:D10)</f>
        <v>8700996</v>
      </c>
      <c r="E6" s="53">
        <f t="shared" si="0"/>
        <v>11070504.552051404</v>
      </c>
      <c r="F6" s="53">
        <f t="shared" si="0"/>
        <v>11870792.221238529</v>
      </c>
      <c r="G6" s="53">
        <f t="shared" si="0"/>
        <v>14275261.254868068</v>
      </c>
      <c r="H6" s="53">
        <f t="shared" si="0"/>
        <v>16965333.761948761</v>
      </c>
      <c r="I6" s="54">
        <f t="shared" si="0"/>
        <v>62882887.790106751</v>
      </c>
      <c r="J6" s="137"/>
      <c r="K6" s="128"/>
      <c r="L6" s="128"/>
      <c r="M6" s="129"/>
      <c r="N6" s="129"/>
      <c r="O6" s="129"/>
      <c r="P6" s="129"/>
      <c r="Q6" s="129"/>
      <c r="R6" s="129"/>
      <c r="S6" s="129"/>
      <c r="T6" s="129"/>
      <c r="U6" s="129"/>
      <c r="V6" s="129"/>
      <c r="W6" s="129"/>
      <c r="X6" s="129"/>
      <c r="Y6" s="129"/>
      <c r="Z6" s="129"/>
      <c r="AA6" s="130"/>
      <c r="AB6" s="78"/>
      <c r="AC6" s="78"/>
      <c r="AD6" s="78"/>
      <c r="AE6" s="78"/>
      <c r="AF6" s="78"/>
      <c r="AG6" s="78"/>
      <c r="AL6" s="136"/>
      <c r="AM6" s="129"/>
      <c r="AN6" s="129"/>
      <c r="AO6" s="129"/>
      <c r="AP6" s="129"/>
      <c r="AQ6" s="129"/>
      <c r="AR6" s="129"/>
      <c r="AS6" s="129"/>
      <c r="AT6" s="129"/>
      <c r="AU6" s="129"/>
      <c r="AV6" s="129"/>
      <c r="AW6" s="129"/>
      <c r="AX6" s="129"/>
      <c r="AY6" s="129"/>
      <c r="AZ6" s="129"/>
      <c r="BA6" s="129"/>
      <c r="BB6" s="129"/>
      <c r="BC6" s="129"/>
      <c r="BD6" s="129"/>
      <c r="BE6" s="129"/>
      <c r="BF6" s="129"/>
      <c r="BG6" s="129"/>
      <c r="BH6" s="130"/>
    </row>
    <row r="7" spans="1:60" s="83" customFormat="1" ht="15.75" thickTop="1" x14ac:dyDescent="0.2">
      <c r="A7" s="133"/>
      <c r="B7" s="134"/>
      <c r="C7" s="190" t="s">
        <v>68</v>
      </c>
      <c r="D7" s="138">
        <f>Модель!BP12</f>
        <v>5248800</v>
      </c>
      <c r="E7" s="138">
        <f>Модель!BQ12</f>
        <v>6784880.9616687307</v>
      </c>
      <c r="F7" s="138">
        <f>Модель!BR12</f>
        <v>7275360.5549877007</v>
      </c>
      <c r="G7" s="138">
        <f>Модель!BS12</f>
        <v>8776459.077486787</v>
      </c>
      <c r="H7" s="138">
        <f>Модель!BT12</f>
        <v>10456566.682033062</v>
      </c>
      <c r="I7" s="55">
        <f>SUM(D7:H7)</f>
        <v>38542067.276176274</v>
      </c>
      <c r="J7" s="137"/>
      <c r="K7" s="139">
        <f>I7/$I$6</f>
        <v>0.61291821401115787</v>
      </c>
      <c r="L7" s="128"/>
      <c r="M7" s="129"/>
      <c r="N7" s="129"/>
      <c r="O7" s="129"/>
      <c r="P7" s="129"/>
      <c r="Q7" s="129"/>
      <c r="R7" s="129"/>
      <c r="S7" s="129"/>
      <c r="T7" s="129"/>
      <c r="U7" s="129"/>
      <c r="V7" s="129"/>
      <c r="W7" s="129"/>
      <c r="X7" s="129"/>
      <c r="Y7" s="129"/>
      <c r="Z7" s="129"/>
      <c r="AA7" s="130"/>
      <c r="AB7" s="78"/>
      <c r="AC7" s="78" t="s">
        <v>166</v>
      </c>
      <c r="AD7" s="140">
        <f>I7</f>
        <v>38542067.276176274</v>
      </c>
      <c r="AE7" s="141">
        <f>AD7/$AD$11</f>
        <v>0.61291821401115787</v>
      </c>
      <c r="AF7" s="78"/>
      <c r="AG7" s="78"/>
      <c r="AL7" s="136"/>
      <c r="AM7" s="129"/>
      <c r="AN7" s="129"/>
      <c r="AO7" s="129"/>
      <c r="AP7" s="129"/>
      <c r="AQ7" s="129"/>
      <c r="AR7" s="129"/>
      <c r="AS7" s="129"/>
      <c r="AT7" s="129"/>
      <c r="AU7" s="129"/>
      <c r="AV7" s="129"/>
      <c r="AW7" s="129"/>
      <c r="AX7" s="129"/>
      <c r="AY7" s="129"/>
      <c r="AZ7" s="129"/>
      <c r="BA7" s="129"/>
      <c r="BB7" s="129"/>
      <c r="BC7" s="129"/>
      <c r="BD7" s="129"/>
      <c r="BE7" s="129"/>
      <c r="BF7" s="129"/>
      <c r="BG7" s="129"/>
      <c r="BH7" s="130"/>
    </row>
    <row r="8" spans="1:60" s="83" customFormat="1" x14ac:dyDescent="0.2">
      <c r="A8" s="133"/>
      <c r="B8" s="134"/>
      <c r="C8" s="191" t="s">
        <v>44</v>
      </c>
      <c r="D8" s="142">
        <f>Модель!BP22</f>
        <v>1516320</v>
      </c>
      <c r="E8" s="142">
        <f>Модель!BQ22</f>
        <v>1960076.7222598554</v>
      </c>
      <c r="F8" s="142">
        <f>Модель!BR22</f>
        <v>2101770.8269964471</v>
      </c>
      <c r="G8" s="142">
        <f>Модель!BS22</f>
        <v>2535421.511273961</v>
      </c>
      <c r="H8" s="142">
        <f>Модель!BT22</f>
        <v>3020785.9303651061</v>
      </c>
      <c r="I8" s="56">
        <f>Модель!BU22</f>
        <v>11134374.99089537</v>
      </c>
      <c r="J8" s="137"/>
      <c r="K8" s="139">
        <f t="shared" ref="K8:K9" si="1">I8/$I$6</f>
        <v>0.17706526182544563</v>
      </c>
      <c r="L8" s="128"/>
      <c r="M8" s="129"/>
      <c r="N8" s="129"/>
      <c r="O8" s="129"/>
      <c r="P8" s="129"/>
      <c r="Q8" s="129"/>
      <c r="R8" s="129"/>
      <c r="S8" s="129"/>
      <c r="T8" s="129"/>
      <c r="U8" s="129"/>
      <c r="V8" s="129"/>
      <c r="W8" s="129"/>
      <c r="X8" s="129"/>
      <c r="Y8" s="129"/>
      <c r="Z8" s="129"/>
      <c r="AA8" s="130"/>
      <c r="AB8" s="78"/>
      <c r="AC8" s="78" t="s">
        <v>165</v>
      </c>
      <c r="AD8" s="140">
        <f t="shared" ref="AD8:AD10" si="2">I8</f>
        <v>11134374.99089537</v>
      </c>
      <c r="AE8" s="141">
        <f>AD8/$AD$11</f>
        <v>0.17706526182544563</v>
      </c>
      <c r="AF8" s="78"/>
      <c r="AG8" s="78"/>
      <c r="AL8" s="136"/>
      <c r="AM8" s="129"/>
      <c r="AN8" s="129"/>
      <c r="AO8" s="129"/>
      <c r="AP8" s="129"/>
      <c r="AQ8" s="129"/>
      <c r="AR8" s="129"/>
      <c r="AS8" s="129"/>
      <c r="AT8" s="129"/>
      <c r="AU8" s="129"/>
      <c r="AV8" s="129"/>
      <c r="AW8" s="129"/>
      <c r="AX8" s="129"/>
      <c r="AY8" s="129"/>
      <c r="AZ8" s="129"/>
      <c r="BA8" s="129"/>
      <c r="BB8" s="129"/>
      <c r="BC8" s="129"/>
      <c r="BD8" s="129"/>
      <c r="BE8" s="129"/>
      <c r="BF8" s="129"/>
      <c r="BG8" s="129"/>
      <c r="BH8" s="130"/>
    </row>
    <row r="9" spans="1:60" s="83" customFormat="1" x14ac:dyDescent="0.2">
      <c r="A9" s="133"/>
      <c r="B9" s="134"/>
      <c r="C9" s="191" t="s">
        <v>45</v>
      </c>
      <c r="D9" s="142">
        <f>Модель!BP33</f>
        <v>1635876</v>
      </c>
      <c r="E9" s="142">
        <f>Модель!BQ33</f>
        <v>2013924.9838604007</v>
      </c>
      <c r="F9" s="142">
        <f>Модель!BR33</f>
        <v>2159511.7837820635</v>
      </c>
      <c r="G9" s="142">
        <f>Модель!BS33</f>
        <v>2605075.9483968713</v>
      </c>
      <c r="H9" s="142">
        <f>Модель!BT33</f>
        <v>3103774.5548256859</v>
      </c>
      <c r="I9" s="56">
        <f>Модель!BU33</f>
        <v>11518163.270865021</v>
      </c>
      <c r="J9" s="137"/>
      <c r="K9" s="139">
        <f t="shared" si="1"/>
        <v>0.18316848471257952</v>
      </c>
      <c r="L9" s="128"/>
      <c r="M9" s="129"/>
      <c r="N9" s="129"/>
      <c r="O9" s="129"/>
      <c r="P9" s="129"/>
      <c r="Q9" s="129"/>
      <c r="R9" s="129"/>
      <c r="S9" s="129"/>
      <c r="T9" s="129"/>
      <c r="U9" s="129"/>
      <c r="V9" s="129"/>
      <c r="W9" s="129"/>
      <c r="X9" s="129"/>
      <c r="Y9" s="129"/>
      <c r="Z9" s="129"/>
      <c r="AA9" s="130"/>
      <c r="AB9" s="78"/>
      <c r="AC9" s="78" t="s">
        <v>164</v>
      </c>
      <c r="AD9" s="140">
        <f t="shared" si="2"/>
        <v>11518163.270865021</v>
      </c>
      <c r="AE9" s="141">
        <f>AD9/$AD$11</f>
        <v>0.18316848471257952</v>
      </c>
      <c r="AF9" s="78"/>
      <c r="AG9" s="78"/>
      <c r="AL9" s="136"/>
      <c r="AM9" s="129"/>
      <c r="AN9" s="129"/>
      <c r="AO9" s="129"/>
      <c r="AP9" s="129"/>
      <c r="AQ9" s="129"/>
      <c r="AR9" s="129"/>
      <c r="AS9" s="129"/>
      <c r="AT9" s="129"/>
      <c r="AU9" s="129"/>
      <c r="AV9" s="129"/>
      <c r="AW9" s="129"/>
      <c r="AX9" s="129"/>
      <c r="AY9" s="129"/>
      <c r="AZ9" s="129"/>
      <c r="BA9" s="129"/>
      <c r="BB9" s="129"/>
      <c r="BC9" s="129"/>
      <c r="BD9" s="129"/>
      <c r="BE9" s="129"/>
      <c r="BF9" s="129"/>
      <c r="BG9" s="129"/>
      <c r="BH9" s="130"/>
    </row>
    <row r="10" spans="1:60" s="83" customFormat="1" x14ac:dyDescent="0.2">
      <c r="A10" s="133"/>
      <c r="B10" s="134"/>
      <c r="C10" s="192" t="s">
        <v>123</v>
      </c>
      <c r="D10" s="143">
        <f>Модель!BP38</f>
        <v>300000</v>
      </c>
      <c r="E10" s="143">
        <f>Модель!BQ38</f>
        <v>311621.88426241599</v>
      </c>
      <c r="F10" s="143">
        <f>Модель!BR38</f>
        <v>334149.05547231867</v>
      </c>
      <c r="G10" s="143">
        <f>Модель!BS38</f>
        <v>358304.71771044761</v>
      </c>
      <c r="H10" s="143">
        <f>Модель!BT38</f>
        <v>384206.59472490667</v>
      </c>
      <c r="I10" s="57">
        <f>Модель!BU38</f>
        <v>1688282.2521700889</v>
      </c>
      <c r="J10" s="137"/>
      <c r="K10" s="139"/>
      <c r="L10" s="128"/>
      <c r="M10" s="129"/>
      <c r="N10" s="129"/>
      <c r="O10" s="129"/>
      <c r="P10" s="129"/>
      <c r="Q10" s="129"/>
      <c r="R10" s="129"/>
      <c r="S10" s="129"/>
      <c r="T10" s="129"/>
      <c r="U10" s="129"/>
      <c r="V10" s="129"/>
      <c r="W10" s="129"/>
      <c r="X10" s="129"/>
      <c r="Y10" s="129"/>
      <c r="Z10" s="129"/>
      <c r="AA10" s="130"/>
      <c r="AB10" s="78"/>
      <c r="AC10" s="78" t="s">
        <v>56</v>
      </c>
      <c r="AD10" s="140">
        <f t="shared" si="2"/>
        <v>1688282.2521700889</v>
      </c>
      <c r="AE10" s="141">
        <f>AD10/$AD$11</f>
        <v>2.6848039450817068E-2</v>
      </c>
      <c r="AF10" s="78"/>
      <c r="AG10" s="78"/>
      <c r="AL10" s="136"/>
      <c r="AM10" s="129"/>
      <c r="AN10" s="129"/>
      <c r="AO10" s="129"/>
      <c r="AP10" s="129"/>
      <c r="AQ10" s="129"/>
      <c r="AR10" s="129"/>
      <c r="AS10" s="129"/>
      <c r="AT10" s="129"/>
      <c r="AU10" s="129"/>
      <c r="AV10" s="129"/>
      <c r="AW10" s="129"/>
      <c r="AX10" s="129"/>
      <c r="AY10" s="129"/>
      <c r="AZ10" s="129"/>
      <c r="BA10" s="129"/>
      <c r="BB10" s="129"/>
      <c r="BC10" s="129"/>
      <c r="BD10" s="129"/>
      <c r="BE10" s="129"/>
      <c r="BF10" s="129"/>
      <c r="BG10" s="129"/>
      <c r="BH10" s="130"/>
    </row>
    <row r="11" spans="1:60" s="144" customFormat="1" x14ac:dyDescent="0.2">
      <c r="A11" s="133"/>
      <c r="B11" s="125"/>
      <c r="J11" s="145"/>
      <c r="K11" s="128"/>
      <c r="L11" s="128"/>
      <c r="M11" s="129"/>
      <c r="N11" s="129"/>
      <c r="O11" s="129"/>
      <c r="P11" s="129"/>
      <c r="Q11" s="129"/>
      <c r="R11" s="129"/>
      <c r="S11" s="129"/>
      <c r="T11" s="129"/>
      <c r="U11" s="129"/>
      <c r="V11" s="129"/>
      <c r="W11" s="129"/>
      <c r="X11" s="129"/>
      <c r="Y11" s="129"/>
      <c r="Z11" s="129"/>
      <c r="AA11" s="130"/>
      <c r="AB11" s="78"/>
      <c r="AC11" s="78"/>
      <c r="AD11" s="140">
        <f>SUM(AD7:AD10)</f>
        <v>62882887.790106751</v>
      </c>
      <c r="AE11" s="141">
        <f>AD11/$AD$11</f>
        <v>1</v>
      </c>
      <c r="AF11" s="146"/>
      <c r="AG11" s="147"/>
      <c r="AL11" s="129"/>
      <c r="AM11" s="129"/>
      <c r="AN11" s="129"/>
      <c r="AO11" s="129"/>
      <c r="AP11" s="129"/>
      <c r="AQ11" s="129"/>
      <c r="AR11" s="129"/>
      <c r="AS11" s="129"/>
      <c r="AT11" s="129"/>
      <c r="AU11" s="129"/>
      <c r="AV11" s="129"/>
      <c r="AW11" s="129"/>
      <c r="AX11" s="129"/>
      <c r="AY11" s="129"/>
      <c r="AZ11" s="129"/>
      <c r="BA11" s="129"/>
      <c r="BB11" s="129"/>
      <c r="BC11" s="129"/>
      <c r="BD11" s="129"/>
      <c r="BE11" s="129"/>
      <c r="BF11" s="129"/>
      <c r="BG11" s="129"/>
      <c r="BH11" s="129"/>
    </row>
    <row r="12" spans="1:60" s="83" customFormat="1" ht="15.75" thickBot="1" x14ac:dyDescent="0.25">
      <c r="A12" s="133"/>
      <c r="B12" s="134"/>
      <c r="C12" s="52" t="s">
        <v>154</v>
      </c>
      <c r="D12" s="53">
        <f>SUM(D13:D25)</f>
        <v>5373150.5599359311</v>
      </c>
      <c r="E12" s="53">
        <f t="shared" ref="E12:H12" si="3">SUM(E13:E25)</f>
        <v>5743087.1266238904</v>
      </c>
      <c r="F12" s="53">
        <f t="shared" si="3"/>
        <v>6098835.3139881967</v>
      </c>
      <c r="G12" s="53">
        <f t="shared" si="3"/>
        <v>6794246.0177237913</v>
      </c>
      <c r="H12" s="53">
        <f t="shared" si="3"/>
        <v>7561470.5152173638</v>
      </c>
      <c r="I12" s="54">
        <f>SUM(I13:I24)</f>
        <v>31570789.533489171</v>
      </c>
      <c r="J12" s="137"/>
      <c r="K12" s="128"/>
      <c r="L12" s="128"/>
      <c r="M12" s="129"/>
      <c r="N12" s="129"/>
      <c r="O12" s="129"/>
      <c r="P12" s="129"/>
      <c r="Q12" s="129"/>
      <c r="R12" s="129"/>
      <c r="S12" s="129"/>
      <c r="T12" s="129"/>
      <c r="U12" s="129"/>
      <c r="V12" s="129"/>
      <c r="W12" s="129"/>
      <c r="X12" s="129"/>
      <c r="Y12" s="129"/>
      <c r="Z12" s="129"/>
      <c r="AA12" s="130"/>
      <c r="AB12" s="78"/>
      <c r="AC12" s="78"/>
      <c r="AD12" s="78"/>
      <c r="AE12" s="78"/>
      <c r="AF12" s="78"/>
      <c r="AG12" s="78"/>
      <c r="AL12" s="136"/>
      <c r="AM12" s="129"/>
      <c r="AN12" s="129"/>
      <c r="AO12" s="129"/>
      <c r="AP12" s="129"/>
      <c r="AQ12" s="129"/>
      <c r="AR12" s="129"/>
      <c r="AS12" s="129"/>
      <c r="AT12" s="129"/>
      <c r="AU12" s="129"/>
      <c r="AV12" s="129"/>
      <c r="AW12" s="129"/>
      <c r="AX12" s="129"/>
      <c r="AY12" s="129"/>
      <c r="AZ12" s="129"/>
      <c r="BA12" s="129"/>
      <c r="BB12" s="129"/>
      <c r="BC12" s="129"/>
      <c r="BD12" s="129"/>
      <c r="BE12" s="129"/>
      <c r="BF12" s="129"/>
      <c r="BG12" s="129"/>
      <c r="BH12" s="130"/>
    </row>
    <row r="13" spans="1:60" s="83" customFormat="1" ht="15.75" thickTop="1" x14ac:dyDescent="0.2">
      <c r="A13" s="133"/>
      <c r="B13" s="134"/>
      <c r="C13" s="58" t="s">
        <v>55</v>
      </c>
      <c r="D13" s="148">
        <f>Модель!BP49+Модель!BP55</f>
        <v>1088069.4189830124</v>
      </c>
      <c r="E13" s="148">
        <f>Модель!BQ49+Модель!BQ55</f>
        <v>1057604.9095728286</v>
      </c>
      <c r="F13" s="148">
        <f>Модель!BR49+Модель!BR55</f>
        <v>1111713.9839556131</v>
      </c>
      <c r="G13" s="148">
        <f>Модель!BS49+Модель!BS55</f>
        <v>1168591.3812764448</v>
      </c>
      <c r="H13" s="148">
        <f>Модель!BT49+Модель!BT55</f>
        <v>1228378.7341907837</v>
      </c>
      <c r="I13" s="149">
        <f>Модель!BU49+Модель!BU55</f>
        <v>5654358.4279786823</v>
      </c>
      <c r="J13" s="137"/>
      <c r="K13" s="139">
        <f>I13/$I$12</f>
        <v>0.17910095095913708</v>
      </c>
      <c r="L13" s="128"/>
      <c r="M13" s="129"/>
      <c r="N13" s="129"/>
      <c r="O13" s="129"/>
      <c r="P13" s="129"/>
      <c r="Q13" s="129"/>
      <c r="R13" s="129"/>
      <c r="S13" s="129"/>
      <c r="T13" s="129"/>
      <c r="U13" s="129"/>
      <c r="V13" s="129"/>
      <c r="W13" s="129"/>
      <c r="X13" s="129"/>
      <c r="Y13" s="129"/>
      <c r="Z13" s="129"/>
      <c r="AA13" s="130"/>
      <c r="AB13" s="78"/>
      <c r="AC13" s="78" t="s">
        <v>55</v>
      </c>
      <c r="AD13" s="140">
        <f>I13</f>
        <v>5654358.4279786823</v>
      </c>
      <c r="AE13" s="141">
        <f t="shared" ref="AE13:AE22" si="4">AD13/$AD$25</f>
        <v>0.17910095095913708</v>
      </c>
      <c r="AF13" s="78"/>
      <c r="AG13" s="78"/>
      <c r="AL13" s="136"/>
      <c r="AM13" s="129"/>
      <c r="AN13" s="129"/>
      <c r="AO13" s="129"/>
      <c r="AP13" s="129"/>
      <c r="AQ13" s="129"/>
      <c r="AR13" s="129"/>
      <c r="AS13" s="129"/>
      <c r="AT13" s="129"/>
      <c r="AU13" s="129"/>
      <c r="AV13" s="129"/>
      <c r="AW13" s="129"/>
      <c r="AX13" s="129"/>
      <c r="AY13" s="129"/>
      <c r="AZ13" s="129"/>
      <c r="BA13" s="129"/>
      <c r="BB13" s="129"/>
      <c r="BC13" s="129"/>
      <c r="BD13" s="129"/>
      <c r="BE13" s="129"/>
      <c r="BF13" s="129"/>
      <c r="BG13" s="129"/>
      <c r="BH13" s="130"/>
    </row>
    <row r="14" spans="1:60" s="83" customFormat="1" x14ac:dyDescent="0.2">
      <c r="A14" s="133"/>
      <c r="B14" s="134"/>
      <c r="C14" s="59" t="s">
        <v>19</v>
      </c>
      <c r="D14" s="142">
        <f>Модель!BP60</f>
        <v>261120.00000000003</v>
      </c>
      <c r="E14" s="142">
        <f>Модель!BQ60</f>
        <v>271235.6880620069</v>
      </c>
      <c r="F14" s="142">
        <f>Модель!BR60</f>
        <v>290843.33788310626</v>
      </c>
      <c r="G14" s="142">
        <f>Модель!BS60</f>
        <v>311868.42629517359</v>
      </c>
      <c r="H14" s="142">
        <f>Модель!BT60</f>
        <v>334413.42004855885</v>
      </c>
      <c r="I14" s="150">
        <f>Модель!BU60</f>
        <v>1469480.8722888457</v>
      </c>
      <c r="J14" s="137"/>
      <c r="K14" s="139">
        <f t="shared" ref="K14:K24" si="5">I14/$I$12</f>
        <v>4.6545585143826465E-2</v>
      </c>
      <c r="L14" s="128"/>
      <c r="M14" s="129"/>
      <c r="N14" s="129"/>
      <c r="O14" s="129"/>
      <c r="P14" s="129"/>
      <c r="Q14" s="129"/>
      <c r="R14" s="129"/>
      <c r="S14" s="129"/>
      <c r="T14" s="129"/>
      <c r="U14" s="129"/>
      <c r="V14" s="129"/>
      <c r="W14" s="129"/>
      <c r="X14" s="129"/>
      <c r="Y14" s="129"/>
      <c r="Z14" s="129"/>
      <c r="AA14" s="130"/>
      <c r="AB14" s="78"/>
      <c r="AC14" s="78" t="s">
        <v>167</v>
      </c>
      <c r="AD14" s="140">
        <f t="shared" ref="AD14:AD24" si="6">I14</f>
        <v>1469480.8722888457</v>
      </c>
      <c r="AE14" s="141">
        <f t="shared" si="4"/>
        <v>4.6545585143826465E-2</v>
      </c>
      <c r="AF14" s="78"/>
      <c r="AG14" s="78"/>
      <c r="AL14" s="136"/>
      <c r="AM14" s="129"/>
      <c r="AN14" s="129"/>
      <c r="AO14" s="129"/>
      <c r="AP14" s="129"/>
      <c r="AQ14" s="129"/>
      <c r="AR14" s="129"/>
      <c r="AS14" s="129"/>
      <c r="AT14" s="129"/>
      <c r="AU14" s="129"/>
      <c r="AV14" s="129"/>
      <c r="AW14" s="129"/>
      <c r="AX14" s="129"/>
      <c r="AY14" s="129"/>
      <c r="AZ14" s="129"/>
      <c r="BA14" s="129"/>
      <c r="BB14" s="129"/>
      <c r="BC14" s="129"/>
      <c r="BD14" s="129"/>
      <c r="BE14" s="129"/>
      <c r="BF14" s="129"/>
      <c r="BG14" s="129"/>
      <c r="BH14" s="130"/>
    </row>
    <row r="15" spans="1:60" s="83" customFormat="1" x14ac:dyDescent="0.2">
      <c r="A15" s="133"/>
      <c r="B15" s="134"/>
      <c r="C15" s="59" t="s">
        <v>12</v>
      </c>
      <c r="D15" s="142">
        <f>Модель!BP63</f>
        <v>1296000</v>
      </c>
      <c r="E15" s="142">
        <f>Модель!BQ63</f>
        <v>1346206.5400136369</v>
      </c>
      <c r="F15" s="142">
        <f>Модель!BR63</f>
        <v>1443523.9196404167</v>
      </c>
      <c r="G15" s="142">
        <f>Модель!BS63</f>
        <v>1547876.3805091337</v>
      </c>
      <c r="H15" s="142">
        <f>Модель!BT63</f>
        <v>1659772.4892115968</v>
      </c>
      <c r="I15" s="150">
        <f>Модель!BU63</f>
        <v>7293379.3293747837</v>
      </c>
      <c r="J15" s="137"/>
      <c r="K15" s="139">
        <f t="shared" si="5"/>
        <v>0.23101669097119748</v>
      </c>
      <c r="L15" s="128"/>
      <c r="M15" s="129"/>
      <c r="N15" s="129"/>
      <c r="O15" s="129"/>
      <c r="P15" s="129"/>
      <c r="Q15" s="129"/>
      <c r="R15" s="129"/>
      <c r="S15" s="129"/>
      <c r="T15" s="129"/>
      <c r="U15" s="129"/>
      <c r="V15" s="129"/>
      <c r="W15" s="129"/>
      <c r="X15" s="129"/>
      <c r="Y15" s="129"/>
      <c r="Z15" s="129"/>
      <c r="AA15" s="130"/>
      <c r="AB15" s="78"/>
      <c r="AC15" s="78" t="s">
        <v>168</v>
      </c>
      <c r="AD15" s="140">
        <f t="shared" si="6"/>
        <v>7293379.3293747837</v>
      </c>
      <c r="AE15" s="141">
        <f t="shared" si="4"/>
        <v>0.23101669097119748</v>
      </c>
      <c r="AF15" s="78"/>
      <c r="AG15" s="78"/>
      <c r="AL15" s="136"/>
      <c r="AM15" s="129"/>
      <c r="AN15" s="129"/>
      <c r="AO15" s="129"/>
      <c r="AP15" s="129"/>
      <c r="AQ15" s="129"/>
      <c r="AR15" s="129"/>
      <c r="AS15" s="129"/>
      <c r="AT15" s="129"/>
      <c r="AU15" s="129"/>
      <c r="AV15" s="129"/>
      <c r="AW15" s="129"/>
      <c r="AX15" s="129"/>
      <c r="AY15" s="129"/>
      <c r="AZ15" s="129"/>
      <c r="BA15" s="129"/>
      <c r="BB15" s="129"/>
      <c r="BC15" s="129"/>
      <c r="BD15" s="129"/>
      <c r="BE15" s="129"/>
      <c r="BF15" s="129"/>
      <c r="BG15" s="129"/>
      <c r="BH15" s="130"/>
    </row>
    <row r="16" spans="1:60" s="83" customFormat="1" x14ac:dyDescent="0.2">
      <c r="A16" s="133"/>
      <c r="B16" s="134"/>
      <c r="C16" s="59" t="s">
        <v>13</v>
      </c>
      <c r="D16" s="142">
        <f>Модель!BP74</f>
        <v>413659.00040000002</v>
      </c>
      <c r="E16" s="142">
        <f>Модель!BQ74</f>
        <v>342078.59065838833</v>
      </c>
      <c r="F16" s="142">
        <f>Модель!BR74</f>
        <v>366807.47963627055</v>
      </c>
      <c r="G16" s="142">
        <f>Модель!BS74</f>
        <v>441105.57277542329</v>
      </c>
      <c r="H16" s="142">
        <f>Модель!BT74</f>
        <v>524228.81324421667</v>
      </c>
      <c r="I16" s="150">
        <f>Модель!BU74</f>
        <v>2087879.4567142988</v>
      </c>
      <c r="J16" s="137"/>
      <c r="K16" s="139">
        <f t="shared" si="5"/>
        <v>6.6133267098041709E-2</v>
      </c>
      <c r="L16" s="128"/>
      <c r="M16" s="129"/>
      <c r="N16" s="129"/>
      <c r="O16" s="129"/>
      <c r="P16" s="129"/>
      <c r="Q16" s="129"/>
      <c r="R16" s="129"/>
      <c r="S16" s="129"/>
      <c r="T16" s="129"/>
      <c r="U16" s="129"/>
      <c r="V16" s="129"/>
      <c r="W16" s="129"/>
      <c r="X16" s="129"/>
      <c r="Y16" s="129"/>
      <c r="Z16" s="129"/>
      <c r="AA16" s="130"/>
      <c r="AB16" s="78"/>
      <c r="AC16" s="78" t="s">
        <v>13</v>
      </c>
      <c r="AD16" s="140">
        <f t="shared" si="6"/>
        <v>2087879.4567142988</v>
      </c>
      <c r="AE16" s="141">
        <f t="shared" si="4"/>
        <v>6.6133267098041709E-2</v>
      </c>
      <c r="AF16" s="78"/>
      <c r="AG16" s="78"/>
      <c r="AL16" s="136"/>
      <c r="AM16" s="129"/>
      <c r="AN16" s="129"/>
      <c r="AO16" s="129"/>
      <c r="AP16" s="129"/>
      <c r="AQ16" s="129"/>
      <c r="AR16" s="129"/>
      <c r="AS16" s="129"/>
      <c r="AT16" s="129"/>
      <c r="AU16" s="129"/>
      <c r="AV16" s="129"/>
      <c r="AW16" s="129"/>
      <c r="AX16" s="129"/>
      <c r="AY16" s="129"/>
      <c r="AZ16" s="129"/>
      <c r="BA16" s="129"/>
      <c r="BB16" s="129"/>
      <c r="BC16" s="129"/>
      <c r="BD16" s="129"/>
      <c r="BE16" s="129"/>
      <c r="BF16" s="129"/>
      <c r="BG16" s="129"/>
      <c r="BH16" s="130"/>
    </row>
    <row r="17" spans="1:60" s="83" customFormat="1" x14ac:dyDescent="0.2">
      <c r="A17" s="133"/>
      <c r="B17" s="134"/>
      <c r="C17" s="59" t="s">
        <v>16</v>
      </c>
      <c r="D17" s="142">
        <f>Модель!BP78</f>
        <v>0</v>
      </c>
      <c r="E17" s="142">
        <f>Модель!BQ78</f>
        <v>0</v>
      </c>
      <c r="F17" s="142">
        <f>Модель!BR78</f>
        <v>0</v>
      </c>
      <c r="G17" s="142">
        <f>Модель!BS78</f>
        <v>0</v>
      </c>
      <c r="H17" s="142">
        <f>Модель!BT78</f>
        <v>0</v>
      </c>
      <c r="I17" s="150">
        <f>Модель!BU78</f>
        <v>0</v>
      </c>
      <c r="J17" s="137"/>
      <c r="K17" s="139">
        <f t="shared" si="5"/>
        <v>0</v>
      </c>
      <c r="L17" s="128"/>
      <c r="M17" s="129"/>
      <c r="N17" s="129"/>
      <c r="O17" s="129"/>
      <c r="P17" s="129"/>
      <c r="Q17" s="129"/>
      <c r="R17" s="129"/>
      <c r="S17" s="129"/>
      <c r="T17" s="129"/>
      <c r="U17" s="129"/>
      <c r="V17" s="129"/>
      <c r="W17" s="129"/>
      <c r="X17" s="129"/>
      <c r="Y17" s="129"/>
      <c r="Z17" s="129"/>
      <c r="AA17" s="130"/>
      <c r="AB17" s="78"/>
      <c r="AC17" s="78" t="s">
        <v>16</v>
      </c>
      <c r="AD17" s="140">
        <f t="shared" si="6"/>
        <v>0</v>
      </c>
      <c r="AE17" s="141">
        <f t="shared" si="4"/>
        <v>0</v>
      </c>
      <c r="AF17" s="78"/>
      <c r="AG17" s="78"/>
      <c r="AL17" s="136"/>
      <c r="AM17" s="129"/>
      <c r="AN17" s="129"/>
      <c r="AO17" s="129"/>
      <c r="AP17" s="129"/>
      <c r="AQ17" s="129"/>
      <c r="AR17" s="129"/>
      <c r="AS17" s="129"/>
      <c r="AT17" s="129"/>
      <c r="AU17" s="129"/>
      <c r="AV17" s="129"/>
      <c r="AW17" s="129"/>
      <c r="AX17" s="129"/>
      <c r="AY17" s="129"/>
      <c r="AZ17" s="129"/>
      <c r="BA17" s="129"/>
      <c r="BB17" s="129"/>
      <c r="BC17" s="129"/>
      <c r="BD17" s="129"/>
      <c r="BE17" s="129"/>
      <c r="BF17" s="129"/>
      <c r="BG17" s="129"/>
      <c r="BH17" s="130"/>
    </row>
    <row r="18" spans="1:60" s="83" customFormat="1" x14ac:dyDescent="0.2">
      <c r="A18" s="133"/>
      <c r="B18" s="134"/>
      <c r="C18" s="59" t="s">
        <v>18</v>
      </c>
      <c r="D18" s="142">
        <f>Модель!BP72</f>
        <v>49999.999999999993</v>
      </c>
      <c r="E18" s="142">
        <f>Модель!BQ72</f>
        <v>49999.999999999993</v>
      </c>
      <c r="F18" s="142">
        <f>Модель!BR72</f>
        <v>49999.999999999993</v>
      </c>
      <c r="G18" s="142">
        <f>Модель!BS72</f>
        <v>49999.999999999993</v>
      </c>
      <c r="H18" s="142">
        <f>Модель!BT72</f>
        <v>49999.999999999993</v>
      </c>
      <c r="I18" s="150">
        <f>Модель!BU72</f>
        <v>249999.99999999997</v>
      </c>
      <c r="J18" s="137"/>
      <c r="K18" s="139">
        <f t="shared" si="5"/>
        <v>7.9187123190191007E-3</v>
      </c>
      <c r="L18" s="128"/>
      <c r="M18" s="129"/>
      <c r="N18" s="129"/>
      <c r="O18" s="129"/>
      <c r="P18" s="129"/>
      <c r="Q18" s="129"/>
      <c r="R18" s="129"/>
      <c r="S18" s="129"/>
      <c r="T18" s="129"/>
      <c r="U18" s="129"/>
      <c r="V18" s="129"/>
      <c r="W18" s="129"/>
      <c r="X18" s="129"/>
      <c r="Y18" s="129"/>
      <c r="Z18" s="129"/>
      <c r="AA18" s="130"/>
      <c r="AB18" s="78"/>
      <c r="AC18" s="78" t="s">
        <v>18</v>
      </c>
      <c r="AD18" s="140">
        <f t="shared" si="6"/>
        <v>249999.99999999997</v>
      </c>
      <c r="AE18" s="141">
        <f t="shared" si="4"/>
        <v>7.9187123190191007E-3</v>
      </c>
      <c r="AF18" s="78"/>
      <c r="AG18" s="78"/>
      <c r="AL18" s="136"/>
      <c r="AM18" s="129"/>
      <c r="AN18" s="129"/>
      <c r="AO18" s="129"/>
      <c r="AP18" s="129"/>
      <c r="AQ18" s="129"/>
      <c r="AR18" s="129"/>
      <c r="AS18" s="129"/>
      <c r="AT18" s="129"/>
      <c r="AU18" s="129"/>
      <c r="AV18" s="129"/>
      <c r="AW18" s="129"/>
      <c r="AX18" s="129"/>
      <c r="AY18" s="129"/>
      <c r="AZ18" s="129"/>
      <c r="BA18" s="129"/>
      <c r="BB18" s="129"/>
      <c r="BC18" s="129"/>
      <c r="BD18" s="129"/>
      <c r="BE18" s="129"/>
      <c r="BF18" s="129"/>
      <c r="BG18" s="129"/>
      <c r="BH18" s="130"/>
    </row>
    <row r="19" spans="1:60" s="83" customFormat="1" x14ac:dyDescent="0.2">
      <c r="A19" s="133"/>
      <c r="B19" s="134"/>
      <c r="C19" s="59" t="s">
        <v>57</v>
      </c>
      <c r="D19" s="142">
        <f>Модель!BP82</f>
        <v>407870.79999999993</v>
      </c>
      <c r="E19" s="142">
        <f>Модель!BQ82</f>
        <v>553525.22760257008</v>
      </c>
      <c r="F19" s="142">
        <f>Модель!BR82</f>
        <v>593539.61106192647</v>
      </c>
      <c r="G19" s="142">
        <f>Модель!BS82</f>
        <v>713763.06274340325</v>
      </c>
      <c r="H19" s="142">
        <f>Модель!BT82</f>
        <v>848266.68809743784</v>
      </c>
      <c r="I19" s="150">
        <f>Модель!BU82</f>
        <v>3116965.3895053379</v>
      </c>
      <c r="J19" s="137"/>
      <c r="K19" s="139">
        <f t="shared" si="5"/>
        <v>9.8729408911328365E-2</v>
      </c>
      <c r="L19" s="128"/>
      <c r="M19" s="129"/>
      <c r="N19" s="129"/>
      <c r="O19" s="129"/>
      <c r="P19" s="129"/>
      <c r="Q19" s="129"/>
      <c r="R19" s="129"/>
      <c r="S19" s="129"/>
      <c r="T19" s="129"/>
      <c r="U19" s="129"/>
      <c r="V19" s="129"/>
      <c r="W19" s="129"/>
      <c r="X19" s="129"/>
      <c r="Y19" s="129"/>
      <c r="Z19" s="129"/>
      <c r="AA19" s="130"/>
      <c r="AB19" s="78"/>
      <c r="AC19" s="78" t="s">
        <v>57</v>
      </c>
      <c r="AD19" s="140">
        <f t="shared" si="6"/>
        <v>3116965.3895053379</v>
      </c>
      <c r="AE19" s="141">
        <f t="shared" si="4"/>
        <v>9.8729408911328365E-2</v>
      </c>
      <c r="AF19" s="78"/>
      <c r="AG19" s="78"/>
      <c r="AL19" s="136"/>
      <c r="AM19" s="129"/>
      <c r="AN19" s="129"/>
      <c r="AO19" s="129"/>
      <c r="AP19" s="129"/>
      <c r="AQ19" s="129"/>
      <c r="AR19" s="129"/>
      <c r="AS19" s="129"/>
      <c r="AT19" s="129"/>
      <c r="AU19" s="129"/>
      <c r="AV19" s="129"/>
      <c r="AW19" s="129"/>
      <c r="AX19" s="129"/>
      <c r="AY19" s="129"/>
      <c r="AZ19" s="129"/>
      <c r="BA19" s="129"/>
      <c r="BB19" s="129"/>
      <c r="BC19" s="129"/>
      <c r="BD19" s="129"/>
      <c r="BE19" s="129"/>
      <c r="BF19" s="129"/>
      <c r="BG19" s="129"/>
      <c r="BH19" s="130"/>
    </row>
    <row r="20" spans="1:60" s="83" customFormat="1" x14ac:dyDescent="0.2">
      <c r="A20" s="133"/>
      <c r="B20" s="134"/>
      <c r="C20" s="83" t="s">
        <v>141</v>
      </c>
      <c r="D20" s="142">
        <f>Модель!BP70</f>
        <v>309600</v>
      </c>
      <c r="E20" s="142">
        <f>Модель!BQ70</f>
        <v>309600</v>
      </c>
      <c r="F20" s="142">
        <f>Модель!BR70</f>
        <v>309600</v>
      </c>
      <c r="G20" s="142">
        <f>Модель!BS70</f>
        <v>309600</v>
      </c>
      <c r="H20" s="142">
        <f>Модель!BT70</f>
        <v>309600</v>
      </c>
      <c r="I20" s="150">
        <f>Модель!BU70</f>
        <v>1548000</v>
      </c>
      <c r="J20" s="137"/>
      <c r="K20" s="139">
        <f t="shared" si="5"/>
        <v>4.9032666679366274E-2</v>
      </c>
      <c r="L20" s="128"/>
      <c r="M20" s="129"/>
      <c r="N20" s="129"/>
      <c r="O20" s="129"/>
      <c r="P20" s="129"/>
      <c r="Q20" s="129"/>
      <c r="R20" s="129"/>
      <c r="S20" s="129"/>
      <c r="T20" s="129"/>
      <c r="U20" s="129"/>
      <c r="V20" s="129"/>
      <c r="W20" s="129"/>
      <c r="X20" s="129"/>
      <c r="Y20" s="129"/>
      <c r="Z20" s="129"/>
      <c r="AA20" s="130"/>
      <c r="AB20" s="78"/>
      <c r="AC20" s="78" t="s">
        <v>17</v>
      </c>
      <c r="AD20" s="140">
        <f t="shared" si="6"/>
        <v>1548000</v>
      </c>
      <c r="AE20" s="141">
        <f t="shared" si="4"/>
        <v>4.9032666679366274E-2</v>
      </c>
      <c r="AF20" s="78"/>
      <c r="AG20" s="78"/>
      <c r="AL20" s="136"/>
      <c r="AM20" s="129"/>
      <c r="AN20" s="129"/>
      <c r="AO20" s="129"/>
      <c r="AP20" s="129"/>
      <c r="AQ20" s="129"/>
      <c r="AR20" s="129"/>
      <c r="AS20" s="129"/>
      <c r="AT20" s="129"/>
      <c r="AU20" s="129"/>
      <c r="AV20" s="129"/>
      <c r="AW20" s="129"/>
      <c r="AX20" s="129"/>
      <c r="AY20" s="129"/>
      <c r="AZ20" s="129"/>
      <c r="BA20" s="129"/>
      <c r="BB20" s="129"/>
      <c r="BC20" s="129"/>
      <c r="BD20" s="129"/>
      <c r="BE20" s="129"/>
      <c r="BF20" s="129"/>
      <c r="BG20" s="129"/>
      <c r="BH20" s="130"/>
    </row>
    <row r="21" spans="1:60" s="83" customFormat="1" x14ac:dyDescent="0.2">
      <c r="A21" s="133"/>
      <c r="B21" s="134"/>
      <c r="C21" s="59" t="s">
        <v>20</v>
      </c>
      <c r="D21" s="142">
        <f>Модель!BP89</f>
        <v>778988.57142857136</v>
      </c>
      <c r="E21" s="142">
        <f>Модель!BQ89</f>
        <v>959011.89707638114</v>
      </c>
      <c r="F21" s="142">
        <f>Модель!BR89</f>
        <v>1028338.9446581254</v>
      </c>
      <c r="G21" s="142">
        <f>Модель!BS89</f>
        <v>1240512.3563794626</v>
      </c>
      <c r="H21" s="142">
        <f>Модель!BT89</f>
        <v>1477987.8832503266</v>
      </c>
      <c r="I21" s="150">
        <f>Модель!BU89</f>
        <v>5484839.6527928673</v>
      </c>
      <c r="J21" s="137"/>
      <c r="K21" s="139">
        <f t="shared" si="5"/>
        <v>0.1737314693056613</v>
      </c>
      <c r="L21" s="128"/>
      <c r="M21" s="129"/>
      <c r="N21" s="129"/>
      <c r="O21" s="129"/>
      <c r="P21" s="129"/>
      <c r="Q21" s="129"/>
      <c r="R21" s="129"/>
      <c r="S21" s="129"/>
      <c r="T21" s="129"/>
      <c r="U21" s="129"/>
      <c r="V21" s="129"/>
      <c r="W21" s="129"/>
      <c r="X21" s="129"/>
      <c r="Y21" s="129"/>
      <c r="Z21" s="129"/>
      <c r="AA21" s="130"/>
      <c r="AB21" s="78"/>
      <c r="AC21" s="78" t="s">
        <v>20</v>
      </c>
      <c r="AD21" s="140">
        <f t="shared" si="6"/>
        <v>5484839.6527928673</v>
      </c>
      <c r="AE21" s="141">
        <f t="shared" si="4"/>
        <v>0.1737314693056613</v>
      </c>
      <c r="AF21" s="78"/>
      <c r="AG21" s="78"/>
      <c r="AL21" s="136"/>
      <c r="AM21" s="129"/>
      <c r="AN21" s="129"/>
      <c r="AO21" s="129"/>
      <c r="AP21" s="129"/>
      <c r="AQ21" s="129"/>
      <c r="AR21" s="129"/>
      <c r="AS21" s="129"/>
      <c r="AT21" s="129"/>
      <c r="AU21" s="129"/>
      <c r="AV21" s="129"/>
      <c r="AW21" s="129"/>
      <c r="AX21" s="129"/>
      <c r="AY21" s="129"/>
      <c r="AZ21" s="129"/>
      <c r="BA21" s="129"/>
      <c r="BB21" s="129"/>
      <c r="BC21" s="129"/>
      <c r="BD21" s="129"/>
      <c r="BE21" s="129"/>
      <c r="BF21" s="129"/>
      <c r="BG21" s="129"/>
      <c r="BH21" s="130"/>
    </row>
    <row r="22" spans="1:60" s="83" customFormat="1" x14ac:dyDescent="0.2">
      <c r="A22" s="133"/>
      <c r="B22" s="134"/>
      <c r="C22" s="59" t="s">
        <v>120</v>
      </c>
      <c r="D22" s="142">
        <f>Модель!BP86</f>
        <v>240000</v>
      </c>
      <c r="E22" s="142">
        <f>Модель!BQ86</f>
        <v>249297.50740993276</v>
      </c>
      <c r="F22" s="142">
        <f>Модель!BR86</f>
        <v>267319.24437785492</v>
      </c>
      <c r="G22" s="142">
        <f>Модель!BS86</f>
        <v>286643.77416835807</v>
      </c>
      <c r="H22" s="142">
        <f>Модель!BT86</f>
        <v>307365.27577992534</v>
      </c>
      <c r="I22" s="150">
        <f>Модель!BU86</f>
        <v>1350625.8017360712</v>
      </c>
      <c r="J22" s="137"/>
      <c r="K22" s="139">
        <f t="shared" si="5"/>
        <v>4.278086869836991E-2</v>
      </c>
      <c r="L22" s="128"/>
      <c r="M22" s="129"/>
      <c r="N22" s="129"/>
      <c r="O22" s="129"/>
      <c r="P22" s="129"/>
      <c r="Q22" s="129"/>
      <c r="R22" s="129"/>
      <c r="S22" s="129"/>
      <c r="T22" s="129"/>
      <c r="U22" s="129"/>
      <c r="V22" s="129"/>
      <c r="W22" s="129"/>
      <c r="X22" s="129"/>
      <c r="Y22" s="129"/>
      <c r="Z22" s="129"/>
      <c r="AA22" s="130"/>
      <c r="AB22" s="78"/>
      <c r="AC22" s="78" t="s">
        <v>120</v>
      </c>
      <c r="AD22" s="140">
        <f t="shared" si="6"/>
        <v>1350625.8017360712</v>
      </c>
      <c r="AE22" s="141">
        <f t="shared" si="4"/>
        <v>4.278086869836991E-2</v>
      </c>
      <c r="AF22" s="78"/>
      <c r="AG22" s="78"/>
      <c r="AL22" s="136"/>
      <c r="AM22" s="129"/>
      <c r="AN22" s="129"/>
      <c r="AO22" s="129"/>
      <c r="AP22" s="129"/>
      <c r="AQ22" s="129"/>
      <c r="AR22" s="129"/>
      <c r="AS22" s="129"/>
      <c r="AT22" s="129"/>
      <c r="AU22" s="129"/>
      <c r="AV22" s="129"/>
      <c r="AW22" s="129"/>
      <c r="AX22" s="129"/>
      <c r="AY22" s="129"/>
      <c r="AZ22" s="129"/>
      <c r="BA22" s="129"/>
      <c r="BB22" s="129"/>
      <c r="BC22" s="129"/>
      <c r="BD22" s="129"/>
      <c r="BE22" s="129"/>
      <c r="BF22" s="129"/>
      <c r="BG22" s="129"/>
      <c r="BH22" s="130"/>
    </row>
    <row r="23" spans="1:60" s="83" customFormat="1" x14ac:dyDescent="0.2">
      <c r="A23" s="133"/>
      <c r="B23" s="134"/>
      <c r="C23" s="319" t="s">
        <v>251</v>
      </c>
      <c r="D23" s="320">
        <f>Модель!BP105</f>
        <v>0</v>
      </c>
      <c r="E23" s="320">
        <f>Модель!BQ105</f>
        <v>0</v>
      </c>
      <c r="F23" s="320">
        <f>Модель!BR105</f>
        <v>0</v>
      </c>
      <c r="G23" s="320">
        <f>Модель!BS105</f>
        <v>0</v>
      </c>
      <c r="H23" s="320">
        <f>Модель!BT105</f>
        <v>0</v>
      </c>
      <c r="I23" s="320">
        <f>Модель!BU105</f>
        <v>0</v>
      </c>
      <c r="J23" s="137"/>
      <c r="K23" s="139"/>
      <c r="L23" s="128"/>
      <c r="M23" s="129"/>
      <c r="N23" s="129"/>
      <c r="O23" s="129"/>
      <c r="P23" s="129"/>
      <c r="Q23" s="129"/>
      <c r="R23" s="129"/>
      <c r="S23" s="129"/>
      <c r="T23" s="129"/>
      <c r="U23" s="129"/>
      <c r="V23" s="129"/>
      <c r="W23" s="129"/>
      <c r="X23" s="129"/>
      <c r="Y23" s="129"/>
      <c r="Z23" s="129"/>
      <c r="AA23" s="130"/>
      <c r="AB23" s="78"/>
      <c r="AC23" s="78"/>
      <c r="AD23" s="140"/>
      <c r="AE23" s="141"/>
      <c r="AF23" s="78"/>
      <c r="AG23" s="78"/>
      <c r="AL23" s="136"/>
      <c r="AM23" s="129"/>
      <c r="AN23" s="129"/>
      <c r="AO23" s="129"/>
      <c r="AP23" s="129"/>
      <c r="AQ23" s="129"/>
      <c r="AR23" s="129"/>
      <c r="AS23" s="129"/>
      <c r="AT23" s="129"/>
      <c r="AU23" s="129"/>
      <c r="AV23" s="129"/>
      <c r="AW23" s="129"/>
      <c r="AX23" s="129"/>
      <c r="AY23" s="129"/>
      <c r="AZ23" s="129"/>
      <c r="BA23" s="129"/>
      <c r="BB23" s="129"/>
      <c r="BC23" s="129"/>
      <c r="BD23" s="129"/>
      <c r="BE23" s="129"/>
      <c r="BF23" s="129"/>
      <c r="BG23" s="129"/>
      <c r="BH23" s="130"/>
    </row>
    <row r="24" spans="1:60" s="83" customFormat="1" x14ac:dyDescent="0.2">
      <c r="A24" s="133"/>
      <c r="B24" s="134"/>
      <c r="C24" s="60" t="s">
        <v>56</v>
      </c>
      <c r="D24" s="143">
        <f>Модель!BP108</f>
        <v>527842.76912434748</v>
      </c>
      <c r="E24" s="143">
        <f>Модель!BQ108</f>
        <v>604526.76622814499</v>
      </c>
      <c r="F24" s="143">
        <f>Модель!BR108</f>
        <v>637148.7927748831</v>
      </c>
      <c r="G24" s="143">
        <f>Модель!BS108</f>
        <v>724285.06357639201</v>
      </c>
      <c r="H24" s="143">
        <f>Модель!BT108</f>
        <v>821457.21139451733</v>
      </c>
      <c r="I24" s="143">
        <f>Модель!BU108</f>
        <v>3315260.6030982849</v>
      </c>
      <c r="J24" s="137"/>
      <c r="K24" s="139">
        <f t="shared" si="5"/>
        <v>0.10501037991405233</v>
      </c>
      <c r="L24" s="128"/>
      <c r="M24" s="129"/>
      <c r="N24" s="129"/>
      <c r="O24" s="129"/>
      <c r="P24" s="129"/>
      <c r="Q24" s="129"/>
      <c r="R24" s="129"/>
      <c r="S24" s="129"/>
      <c r="T24" s="129"/>
      <c r="U24" s="129"/>
      <c r="V24" s="129"/>
      <c r="W24" s="129"/>
      <c r="X24" s="129"/>
      <c r="Y24" s="129"/>
      <c r="Z24" s="129"/>
      <c r="AA24" s="130"/>
      <c r="AB24" s="78"/>
      <c r="AC24" s="78" t="s">
        <v>56</v>
      </c>
      <c r="AD24" s="140">
        <f t="shared" si="6"/>
        <v>3315260.6030982849</v>
      </c>
      <c r="AE24" s="141">
        <f>AD24/$AD$25</f>
        <v>0.10501037991405233</v>
      </c>
      <c r="AF24" s="78"/>
      <c r="AG24" s="78"/>
      <c r="AL24" s="136"/>
      <c r="AM24" s="129"/>
      <c r="AN24" s="129"/>
      <c r="AO24" s="129"/>
      <c r="AP24" s="129"/>
      <c r="AQ24" s="129"/>
      <c r="AR24" s="129"/>
      <c r="AS24" s="129"/>
      <c r="AT24" s="129"/>
      <c r="AU24" s="129"/>
      <c r="AV24" s="129"/>
      <c r="AW24" s="129"/>
      <c r="AX24" s="129"/>
      <c r="AY24" s="129"/>
      <c r="AZ24" s="129"/>
      <c r="BA24" s="129"/>
      <c r="BB24" s="129"/>
      <c r="BC24" s="129"/>
      <c r="BD24" s="129"/>
      <c r="BE24" s="129"/>
      <c r="BF24" s="129"/>
      <c r="BG24" s="129"/>
      <c r="BH24" s="130"/>
    </row>
    <row r="25" spans="1:60" s="120" customFormat="1" x14ac:dyDescent="0.2">
      <c r="A25" s="133"/>
      <c r="B25" s="125"/>
      <c r="C25" s="66"/>
      <c r="D25" s="151"/>
      <c r="E25" s="151"/>
      <c r="F25" s="151"/>
      <c r="G25" s="151"/>
      <c r="H25" s="151"/>
      <c r="I25" s="151"/>
      <c r="J25" s="145"/>
      <c r="K25" s="139"/>
      <c r="L25" s="128"/>
      <c r="M25" s="129"/>
      <c r="N25" s="129"/>
      <c r="O25" s="129"/>
      <c r="P25" s="129"/>
      <c r="Q25" s="129"/>
      <c r="R25" s="129"/>
      <c r="S25" s="129"/>
      <c r="T25" s="129"/>
      <c r="U25" s="129"/>
      <c r="V25" s="129"/>
      <c r="W25" s="129"/>
      <c r="X25" s="129"/>
      <c r="Y25" s="129"/>
      <c r="Z25" s="129"/>
      <c r="AA25" s="130"/>
      <c r="AB25" s="78"/>
      <c r="AC25" s="78"/>
      <c r="AD25" s="140">
        <f>SUM(AD13:AD24)</f>
        <v>31570789.533489171</v>
      </c>
      <c r="AE25" s="141">
        <f>AD25/$AD$25</f>
        <v>1</v>
      </c>
      <c r="AF25" s="123"/>
      <c r="AG25" s="124"/>
      <c r="AL25" s="129"/>
      <c r="AM25" s="129"/>
      <c r="AN25" s="129"/>
      <c r="AO25" s="129"/>
      <c r="AP25" s="129"/>
      <c r="AQ25" s="129"/>
      <c r="AR25" s="129"/>
      <c r="AS25" s="129"/>
      <c r="AT25" s="129"/>
      <c r="AU25" s="129"/>
      <c r="AV25" s="129"/>
      <c r="AW25" s="129"/>
      <c r="AX25" s="129"/>
      <c r="AY25" s="129"/>
      <c r="AZ25" s="129"/>
      <c r="BA25" s="129"/>
      <c r="BB25" s="129"/>
      <c r="BC25" s="129"/>
      <c r="BD25" s="129"/>
      <c r="BE25" s="129"/>
      <c r="BF25" s="129"/>
      <c r="BG25" s="129"/>
      <c r="BH25" s="129"/>
    </row>
    <row r="26" spans="1:60" s="132" customFormat="1" x14ac:dyDescent="0.2">
      <c r="A26" s="152"/>
      <c r="B26" s="153"/>
      <c r="D26" s="154">
        <f>D12-Модель!BP111</f>
        <v>0</v>
      </c>
      <c r="E26" s="154">
        <f>E12-Модель!BQ111</f>
        <v>0</v>
      </c>
      <c r="F26" s="154">
        <f>F12-Модель!BR111</f>
        <v>0</v>
      </c>
      <c r="G26" s="154">
        <f>G12-Модель!BS111</f>
        <v>0</v>
      </c>
      <c r="H26" s="154">
        <f>H12-Модель!BT111</f>
        <v>0</v>
      </c>
      <c r="I26" s="154">
        <f>I12-Модель!BU111</f>
        <v>0</v>
      </c>
      <c r="J26" s="155"/>
      <c r="K26" s="156"/>
      <c r="L26" s="156"/>
      <c r="M26" s="156"/>
      <c r="N26" s="156"/>
      <c r="O26" s="156"/>
      <c r="P26" s="156"/>
      <c r="Q26" s="156"/>
      <c r="R26" s="156"/>
      <c r="S26" s="156"/>
      <c r="T26" s="156"/>
      <c r="U26" s="156"/>
      <c r="V26" s="156"/>
      <c r="W26" s="156"/>
      <c r="X26" s="156"/>
      <c r="Y26" s="156"/>
      <c r="Z26" s="156"/>
      <c r="AA26" s="157"/>
      <c r="AB26" s="78"/>
      <c r="AC26" s="78"/>
      <c r="AD26" s="78"/>
      <c r="AE26" s="78"/>
      <c r="AF26" s="131"/>
      <c r="AL26" s="156"/>
      <c r="AM26" s="156"/>
      <c r="AN26" s="156"/>
      <c r="AO26" s="156"/>
      <c r="AP26" s="156"/>
      <c r="AQ26" s="156"/>
      <c r="AR26" s="156"/>
      <c r="AS26" s="156"/>
      <c r="AT26" s="156"/>
      <c r="AU26" s="156"/>
      <c r="AV26" s="156"/>
      <c r="AW26" s="156"/>
      <c r="AX26" s="156"/>
      <c r="AY26" s="156"/>
      <c r="AZ26" s="156"/>
      <c r="BA26" s="156"/>
      <c r="BB26" s="156"/>
      <c r="BC26" s="156"/>
      <c r="BD26" s="156"/>
      <c r="BE26" s="156"/>
      <c r="BF26" s="156"/>
      <c r="BG26" s="156"/>
      <c r="BH26" s="156"/>
    </row>
    <row r="27" spans="1:60" s="83" customFormat="1" ht="15.75" thickBot="1" x14ac:dyDescent="0.25">
      <c r="A27" s="133"/>
      <c r="B27" s="134"/>
      <c r="C27" s="52" t="s">
        <v>155</v>
      </c>
      <c r="D27" s="53">
        <f t="shared" ref="D27:I27" si="7">D6-D12</f>
        <v>3327845.4400640689</v>
      </c>
      <c r="E27" s="53">
        <f t="shared" si="7"/>
        <v>5327417.4254275141</v>
      </c>
      <c r="F27" s="53">
        <f t="shared" si="7"/>
        <v>5771956.9072503326</v>
      </c>
      <c r="G27" s="53">
        <f t="shared" si="7"/>
        <v>7481015.2371442765</v>
      </c>
      <c r="H27" s="53">
        <f t="shared" si="7"/>
        <v>9403863.2467313968</v>
      </c>
      <c r="I27" s="54">
        <f t="shared" si="7"/>
        <v>31312098.25661758</v>
      </c>
      <c r="J27" s="137"/>
      <c r="K27" s="128"/>
      <c r="L27" s="128"/>
      <c r="M27" s="129"/>
      <c r="N27" s="129"/>
      <c r="O27" s="129"/>
      <c r="P27" s="129"/>
      <c r="Q27" s="129"/>
      <c r="R27" s="129"/>
      <c r="S27" s="129"/>
      <c r="T27" s="129"/>
      <c r="U27" s="129"/>
      <c r="V27" s="129"/>
      <c r="W27" s="129"/>
      <c r="X27" s="129"/>
      <c r="Y27" s="129"/>
      <c r="Z27" s="129"/>
      <c r="AA27" s="130"/>
      <c r="AB27" s="78"/>
      <c r="AC27" s="78"/>
      <c r="AD27" s="78"/>
      <c r="AE27" s="78"/>
      <c r="AF27" s="78"/>
      <c r="AG27" s="78"/>
      <c r="AL27" s="136"/>
      <c r="AM27" s="129"/>
      <c r="AN27" s="129"/>
      <c r="AO27" s="129"/>
      <c r="AP27" s="129"/>
      <c r="AQ27" s="129"/>
      <c r="AR27" s="129"/>
      <c r="AS27" s="129"/>
      <c r="AT27" s="129"/>
      <c r="AU27" s="129"/>
      <c r="AV27" s="129"/>
      <c r="AW27" s="129"/>
      <c r="AX27" s="129"/>
      <c r="AY27" s="129"/>
      <c r="AZ27" s="129"/>
      <c r="BA27" s="129"/>
      <c r="BB27" s="129"/>
      <c r="BC27" s="129"/>
      <c r="BD27" s="129"/>
      <c r="BE27" s="129"/>
      <c r="BF27" s="129"/>
      <c r="BG27" s="129"/>
      <c r="BH27" s="130"/>
    </row>
    <row r="28" spans="1:60" s="3" customFormat="1" ht="15.75" thickTop="1" x14ac:dyDescent="0.2">
      <c r="A28" s="81"/>
      <c r="B28" s="82"/>
      <c r="C28" s="63" t="s">
        <v>101</v>
      </c>
      <c r="D28" s="64">
        <f t="shared" ref="D28:I28" si="8">D27/D6</f>
        <v>0.38246718422397491</v>
      </c>
      <c r="E28" s="64">
        <f t="shared" si="8"/>
        <v>0.48122625309253175</v>
      </c>
      <c r="F28" s="64">
        <f t="shared" si="8"/>
        <v>0.48623182005691951</v>
      </c>
      <c r="G28" s="64">
        <f t="shared" si="8"/>
        <v>0.52405452366716887</v>
      </c>
      <c r="H28" s="64">
        <f t="shared" si="8"/>
        <v>0.55429874700273518</v>
      </c>
      <c r="I28" s="65">
        <f t="shared" si="8"/>
        <v>0.49794307095330081</v>
      </c>
      <c r="J28" s="137"/>
      <c r="K28" s="158"/>
      <c r="L28" s="158"/>
      <c r="M28" s="61"/>
      <c r="N28" s="61"/>
      <c r="O28" s="61"/>
      <c r="P28" s="61"/>
      <c r="Q28" s="61"/>
      <c r="R28" s="61"/>
      <c r="S28" s="61"/>
      <c r="T28" s="61"/>
      <c r="U28" s="61"/>
      <c r="V28" s="61"/>
      <c r="W28" s="61"/>
      <c r="X28" s="61"/>
      <c r="Y28" s="61"/>
      <c r="Z28" s="61"/>
      <c r="AA28" s="62"/>
      <c r="AB28" s="79"/>
      <c r="AC28" s="79" t="s">
        <v>171</v>
      </c>
      <c r="AD28" s="79"/>
      <c r="AE28" s="79"/>
      <c r="AF28" s="79"/>
      <c r="AG28" s="79"/>
      <c r="AL28" s="80"/>
      <c r="AM28" s="61"/>
      <c r="AN28" s="61"/>
      <c r="AO28" s="61"/>
      <c r="AP28" s="61"/>
      <c r="AQ28" s="61"/>
      <c r="AR28" s="61"/>
      <c r="AS28" s="61"/>
      <c r="AT28" s="61"/>
      <c r="AU28" s="61"/>
      <c r="AV28" s="61"/>
      <c r="AW28" s="61"/>
      <c r="AX28" s="61"/>
      <c r="AY28" s="61"/>
      <c r="AZ28" s="61"/>
      <c r="BA28" s="61"/>
      <c r="BB28" s="61"/>
      <c r="BC28" s="61"/>
      <c r="BD28" s="61"/>
      <c r="BE28" s="61"/>
      <c r="BF28" s="61"/>
      <c r="BG28" s="61"/>
      <c r="BH28" s="62"/>
    </row>
    <row r="29" spans="1:60" s="144" customFormat="1" x14ac:dyDescent="0.2">
      <c r="A29" s="133"/>
      <c r="B29" s="125"/>
      <c r="J29" s="145"/>
      <c r="K29" s="128"/>
      <c r="L29" s="128"/>
      <c r="M29" s="129"/>
      <c r="N29" s="129"/>
      <c r="O29" s="129"/>
      <c r="P29" s="129"/>
      <c r="Q29" s="129"/>
      <c r="R29" s="129"/>
      <c r="S29" s="129"/>
      <c r="T29" s="129"/>
      <c r="U29" s="129"/>
      <c r="V29" s="129"/>
      <c r="W29" s="129"/>
      <c r="X29" s="129"/>
      <c r="Y29" s="129"/>
      <c r="Z29" s="129"/>
      <c r="AA29" s="130"/>
      <c r="AB29" s="78"/>
      <c r="AC29" s="78" t="s">
        <v>169</v>
      </c>
      <c r="AD29" s="140">
        <f>'Вводные данные'!G86</f>
        <v>1983280.0000000002</v>
      </c>
      <c r="AE29" s="141">
        <f>AD29/$AD$33</f>
        <v>0.32824457802611023</v>
      </c>
      <c r="AF29" s="146"/>
      <c r="AG29" s="147"/>
      <c r="AL29" s="129"/>
      <c r="AM29" s="129"/>
      <c r="AN29" s="129"/>
      <c r="AO29" s="129"/>
      <c r="AP29" s="129"/>
      <c r="AQ29" s="129"/>
      <c r="AR29" s="129"/>
      <c r="AS29" s="129"/>
      <c r="AT29" s="129"/>
      <c r="AU29" s="129"/>
      <c r="AV29" s="129"/>
      <c r="AW29" s="129"/>
      <c r="AX29" s="129"/>
      <c r="AY29" s="129"/>
      <c r="AZ29" s="129"/>
      <c r="BA29" s="129"/>
      <c r="BB29" s="129"/>
      <c r="BC29" s="129"/>
      <c r="BD29" s="129"/>
      <c r="BE29" s="129"/>
      <c r="BF29" s="129"/>
      <c r="BG29" s="129"/>
      <c r="BH29" s="129"/>
    </row>
    <row r="30" spans="1:60" s="83" customFormat="1" ht="15.75" thickBot="1" x14ac:dyDescent="0.25">
      <c r="A30" s="133"/>
      <c r="B30" s="134"/>
      <c r="C30" s="52" t="s">
        <v>150</v>
      </c>
      <c r="D30" s="53"/>
      <c r="E30" s="53"/>
      <c r="F30" s="53"/>
      <c r="G30" s="53"/>
      <c r="H30" s="53"/>
      <c r="I30" s="54"/>
      <c r="J30" s="137"/>
      <c r="K30" s="128"/>
      <c r="L30" s="128"/>
      <c r="M30" s="129"/>
      <c r="N30" s="129"/>
      <c r="O30" s="129"/>
      <c r="P30" s="129"/>
      <c r="Q30" s="129"/>
      <c r="R30" s="129"/>
      <c r="S30" s="129"/>
      <c r="T30" s="129"/>
      <c r="U30" s="129"/>
      <c r="V30" s="129"/>
      <c r="W30" s="129"/>
      <c r="X30" s="129"/>
      <c r="Y30" s="129"/>
      <c r="Z30" s="129"/>
      <c r="AA30" s="130"/>
      <c r="AB30" s="78"/>
      <c r="AC30" s="78" t="s">
        <v>170</v>
      </c>
      <c r="AD30" s="140">
        <f>'Вводные данные'!G96</f>
        <v>2845300</v>
      </c>
      <c r="AE30" s="141">
        <f t="shared" ref="AE30:AE33" si="9">AD30/$AD$33</f>
        <v>0.47091398988427824</v>
      </c>
      <c r="AF30" s="78"/>
      <c r="AG30" s="78"/>
      <c r="AL30" s="136"/>
      <c r="AM30" s="129"/>
      <c r="AN30" s="129"/>
      <c r="AO30" s="129"/>
      <c r="AP30" s="129"/>
      <c r="AQ30" s="129"/>
      <c r="AR30" s="129"/>
      <c r="AS30" s="129"/>
      <c r="AT30" s="129"/>
      <c r="AU30" s="129"/>
      <c r="AV30" s="129"/>
      <c r="AW30" s="129"/>
      <c r="AX30" s="129"/>
      <c r="AY30" s="129"/>
      <c r="AZ30" s="129"/>
      <c r="BA30" s="129"/>
      <c r="BB30" s="129"/>
      <c r="BC30" s="129"/>
      <c r="BD30" s="129"/>
      <c r="BE30" s="129"/>
      <c r="BF30" s="129"/>
      <c r="BG30" s="129"/>
      <c r="BH30" s="130"/>
    </row>
    <row r="31" spans="1:60" s="83" customFormat="1" ht="15.75" thickTop="1" x14ac:dyDescent="0.2">
      <c r="A31" s="133"/>
      <c r="B31" s="134"/>
      <c r="C31" s="89"/>
      <c r="D31" s="159">
        <f>Модель!BP118</f>
        <v>6042080</v>
      </c>
      <c r="E31" s="159">
        <f>Модель!BQ118</f>
        <v>0</v>
      </c>
      <c r="F31" s="159">
        <f>Модель!BR118</f>
        <v>0</v>
      </c>
      <c r="G31" s="159">
        <f>Модель!BS118</f>
        <v>0</v>
      </c>
      <c r="H31" s="159">
        <f>Модель!BT118</f>
        <v>0</v>
      </c>
      <c r="I31" s="160">
        <f>Модель!BU118</f>
        <v>6042080</v>
      </c>
      <c r="J31" s="137"/>
      <c r="K31" s="128"/>
      <c r="L31" s="128"/>
      <c r="M31" s="129"/>
      <c r="N31" s="129"/>
      <c r="O31" s="129"/>
      <c r="P31" s="129"/>
      <c r="Q31" s="129"/>
      <c r="R31" s="129"/>
      <c r="S31" s="129"/>
      <c r="T31" s="129"/>
      <c r="U31" s="129"/>
      <c r="V31" s="129"/>
      <c r="W31" s="129"/>
      <c r="X31" s="129"/>
      <c r="Y31" s="129"/>
      <c r="Z31" s="129"/>
      <c r="AA31" s="130"/>
      <c r="AB31" s="78"/>
      <c r="AC31" s="78" t="s">
        <v>172</v>
      </c>
      <c r="AD31" s="140">
        <f>'Вводные данные'!G105</f>
        <v>263500</v>
      </c>
      <c r="AE31" s="141">
        <f t="shared" si="9"/>
        <v>4.3610809522548526E-2</v>
      </c>
      <c r="AF31" s="78"/>
      <c r="AG31" s="78"/>
      <c r="AL31" s="136"/>
      <c r="AM31" s="129"/>
      <c r="AN31" s="129"/>
      <c r="AO31" s="129"/>
      <c r="AP31" s="129"/>
      <c r="AQ31" s="129"/>
      <c r="AR31" s="129"/>
      <c r="AS31" s="129"/>
      <c r="AT31" s="129"/>
      <c r="AU31" s="129"/>
      <c r="AV31" s="129"/>
      <c r="AW31" s="129"/>
      <c r="AX31" s="129"/>
      <c r="AY31" s="129"/>
      <c r="AZ31" s="129"/>
      <c r="BA31" s="129"/>
      <c r="BB31" s="129"/>
      <c r="BC31" s="129"/>
      <c r="BD31" s="129"/>
      <c r="BE31" s="129"/>
      <c r="BF31" s="129"/>
      <c r="BG31" s="129"/>
      <c r="BH31" s="130"/>
    </row>
    <row r="32" spans="1:60" s="144" customFormat="1" x14ac:dyDescent="0.2">
      <c r="A32" s="133"/>
      <c r="B32" s="125"/>
      <c r="D32" s="161"/>
      <c r="E32" s="161"/>
      <c r="F32" s="161"/>
      <c r="G32" s="161"/>
      <c r="H32" s="161"/>
      <c r="I32" s="161"/>
      <c r="J32" s="145"/>
      <c r="K32" s="128"/>
      <c r="L32" s="128"/>
      <c r="M32" s="129"/>
      <c r="N32" s="129"/>
      <c r="O32" s="129"/>
      <c r="P32" s="129"/>
      <c r="Q32" s="129"/>
      <c r="R32" s="129"/>
      <c r="S32" s="129"/>
      <c r="T32" s="129"/>
      <c r="U32" s="129"/>
      <c r="V32" s="129"/>
      <c r="W32" s="129"/>
      <c r="X32" s="129"/>
      <c r="Y32" s="129"/>
      <c r="Z32" s="129"/>
      <c r="AA32" s="130"/>
      <c r="AB32" s="78"/>
      <c r="AC32" s="78" t="s">
        <v>56</v>
      </c>
      <c r="AD32" s="140">
        <f>'Вводные данные'!G117</f>
        <v>950000</v>
      </c>
      <c r="AE32" s="141">
        <f t="shared" si="9"/>
        <v>0.15723062256706299</v>
      </c>
      <c r="AF32" s="146"/>
      <c r="AG32" s="147"/>
      <c r="AL32" s="129"/>
      <c r="AM32" s="129"/>
      <c r="AN32" s="129"/>
      <c r="AO32" s="129"/>
      <c r="AP32" s="129"/>
      <c r="AQ32" s="129"/>
      <c r="AR32" s="129"/>
      <c r="AS32" s="129"/>
      <c r="AT32" s="129"/>
      <c r="AU32" s="129"/>
      <c r="AV32" s="129"/>
      <c r="AW32" s="129"/>
      <c r="AX32" s="129"/>
      <c r="AY32" s="129"/>
      <c r="AZ32" s="129"/>
      <c r="BA32" s="129"/>
      <c r="BB32" s="129"/>
      <c r="BC32" s="129"/>
      <c r="BD32" s="129"/>
      <c r="BE32" s="129"/>
      <c r="BF32" s="129"/>
      <c r="BG32" s="129"/>
      <c r="BH32" s="129"/>
    </row>
    <row r="33" spans="1:60" s="83" customFormat="1" ht="15.75" thickBot="1" x14ac:dyDescent="0.25">
      <c r="A33" s="133"/>
      <c r="B33" s="134"/>
      <c r="C33" s="52" t="s">
        <v>104</v>
      </c>
      <c r="D33" s="53"/>
      <c r="E33" s="53"/>
      <c r="F33" s="53"/>
      <c r="G33" s="53"/>
      <c r="H33" s="53"/>
      <c r="I33" s="54"/>
      <c r="J33" s="137"/>
      <c r="K33" s="128"/>
      <c r="L33" s="128"/>
      <c r="M33" s="129"/>
      <c r="N33" s="129"/>
      <c r="O33" s="129"/>
      <c r="P33" s="129"/>
      <c r="Q33" s="129"/>
      <c r="R33" s="129"/>
      <c r="S33" s="129"/>
      <c r="T33" s="129"/>
      <c r="U33" s="129"/>
      <c r="V33" s="129"/>
      <c r="W33" s="129"/>
      <c r="X33" s="129"/>
      <c r="Y33" s="129"/>
      <c r="Z33" s="129"/>
      <c r="AA33" s="130"/>
      <c r="AB33" s="78"/>
      <c r="AC33" s="78"/>
      <c r="AD33" s="140">
        <f>SUM(AD29:AD32)</f>
        <v>6042080</v>
      </c>
      <c r="AE33" s="141">
        <f t="shared" si="9"/>
        <v>1</v>
      </c>
      <c r="AF33" s="78"/>
      <c r="AG33" s="78"/>
      <c r="AL33" s="136"/>
      <c r="AM33" s="129"/>
      <c r="AN33" s="129"/>
      <c r="AO33" s="129"/>
      <c r="AP33" s="129"/>
      <c r="AQ33" s="129"/>
      <c r="AR33" s="129"/>
      <c r="AS33" s="129"/>
      <c r="AT33" s="129"/>
      <c r="AU33" s="129"/>
      <c r="AV33" s="129"/>
      <c r="AW33" s="129"/>
      <c r="AX33" s="129"/>
      <c r="AY33" s="129"/>
      <c r="AZ33" s="129"/>
      <c r="BA33" s="129"/>
      <c r="BB33" s="129"/>
      <c r="BC33" s="129"/>
      <c r="BD33" s="129"/>
      <c r="BE33" s="129"/>
      <c r="BF33" s="129"/>
      <c r="BG33" s="129"/>
      <c r="BH33" s="130"/>
    </row>
    <row r="34" spans="1:60" s="83" customFormat="1" ht="15.75" thickTop="1" x14ac:dyDescent="0.2">
      <c r="A34" s="133"/>
      <c r="B34" s="134"/>
      <c r="C34" s="87"/>
      <c r="D34" s="159">
        <f>Модель!BP125</f>
        <v>-75101.2</v>
      </c>
      <c r="E34" s="159">
        <f>Модель!BQ125</f>
        <v>-20132.742325133426</v>
      </c>
      <c r="F34" s="159">
        <f>Модель!BR125</f>
        <v>-6884.4693909420166</v>
      </c>
      <c r="G34" s="159">
        <f>Модель!BS125</f>
        <v>-20684.428988271626</v>
      </c>
      <c r="H34" s="159">
        <f>Модель!BT125</f>
        <v>-23141.330983173393</v>
      </c>
      <c r="I34" s="160">
        <f>Модель!BU125</f>
        <v>-145944.17168752046</v>
      </c>
      <c r="J34" s="137"/>
      <c r="K34" s="128"/>
      <c r="L34" s="128"/>
      <c r="M34" s="129"/>
      <c r="N34" s="129"/>
      <c r="O34" s="129"/>
      <c r="P34" s="129"/>
      <c r="Q34" s="129"/>
      <c r="R34" s="129"/>
      <c r="S34" s="129"/>
      <c r="T34" s="129"/>
      <c r="U34" s="129"/>
      <c r="V34" s="129"/>
      <c r="W34" s="129"/>
      <c r="X34" s="129"/>
      <c r="Y34" s="129"/>
      <c r="Z34" s="129"/>
      <c r="AA34" s="130"/>
      <c r="AB34" s="78"/>
      <c r="AC34" s="78"/>
      <c r="AD34" s="78"/>
      <c r="AE34" s="78"/>
      <c r="AF34" s="78"/>
      <c r="AG34" s="78"/>
      <c r="AL34" s="136"/>
      <c r="AM34" s="129"/>
      <c r="AN34" s="129"/>
      <c r="AO34" s="129"/>
      <c r="AP34" s="129"/>
      <c r="AQ34" s="129"/>
      <c r="AR34" s="129"/>
      <c r="AS34" s="129"/>
      <c r="AT34" s="129"/>
      <c r="AU34" s="129"/>
      <c r="AV34" s="129"/>
      <c r="AW34" s="129"/>
      <c r="AX34" s="129"/>
      <c r="AY34" s="129"/>
      <c r="AZ34" s="129"/>
      <c r="BA34" s="129"/>
      <c r="BB34" s="129"/>
      <c r="BC34" s="129"/>
      <c r="BD34" s="129"/>
      <c r="BE34" s="129"/>
      <c r="BF34" s="129"/>
      <c r="BG34" s="129"/>
      <c r="BH34" s="130"/>
    </row>
    <row r="35" spans="1:60" s="144" customFormat="1" x14ac:dyDescent="0.2">
      <c r="A35" s="133"/>
      <c r="B35" s="125"/>
      <c r="D35" s="161"/>
      <c r="E35" s="161"/>
      <c r="F35" s="161"/>
      <c r="G35" s="161"/>
      <c r="H35" s="161"/>
      <c r="I35" s="161"/>
      <c r="J35" s="145"/>
      <c r="K35" s="128"/>
      <c r="L35" s="128"/>
      <c r="M35" s="129"/>
      <c r="N35" s="129"/>
      <c r="O35" s="129"/>
      <c r="P35" s="129"/>
      <c r="Q35" s="129"/>
      <c r="R35" s="129"/>
      <c r="S35" s="129"/>
      <c r="T35" s="129"/>
      <c r="U35" s="129"/>
      <c r="V35" s="129"/>
      <c r="W35" s="129"/>
      <c r="X35" s="129"/>
      <c r="Y35" s="129"/>
      <c r="Z35" s="129"/>
      <c r="AA35" s="130"/>
      <c r="AB35" s="78"/>
      <c r="AC35" s="78"/>
      <c r="AD35" s="78"/>
      <c r="AE35" s="78"/>
      <c r="AF35" s="146"/>
      <c r="AG35" s="147"/>
      <c r="AL35" s="129"/>
      <c r="AM35" s="129"/>
      <c r="AN35" s="129"/>
      <c r="AO35" s="129"/>
      <c r="AP35" s="129"/>
      <c r="AQ35" s="129"/>
      <c r="AR35" s="129"/>
      <c r="AS35" s="129"/>
      <c r="AT35" s="129"/>
      <c r="AU35" s="129"/>
      <c r="AV35" s="129"/>
      <c r="AW35" s="129"/>
      <c r="AX35" s="129"/>
      <c r="AY35" s="129"/>
      <c r="AZ35" s="129"/>
      <c r="BA35" s="129"/>
      <c r="BB35" s="129"/>
      <c r="BC35" s="129"/>
      <c r="BD35" s="129"/>
      <c r="BE35" s="129"/>
      <c r="BF35" s="129"/>
      <c r="BG35" s="129"/>
      <c r="BH35" s="129"/>
    </row>
    <row r="36" spans="1:60" s="83" customFormat="1" ht="15.75" thickBot="1" x14ac:dyDescent="0.25">
      <c r="A36" s="133"/>
      <c r="B36" s="134"/>
      <c r="C36" s="52" t="s">
        <v>151</v>
      </c>
      <c r="D36" s="53">
        <f t="shared" ref="D36:I36" si="10">D6-D12-D31+D34</f>
        <v>-2789335.7599359313</v>
      </c>
      <c r="E36" s="53">
        <f t="shared" si="10"/>
        <v>5307284.6831023805</v>
      </c>
      <c r="F36" s="53">
        <f t="shared" si="10"/>
        <v>5765072.4378593909</v>
      </c>
      <c r="G36" s="53">
        <f t="shared" si="10"/>
        <v>7460330.8081560051</v>
      </c>
      <c r="H36" s="53">
        <f t="shared" si="10"/>
        <v>9380721.9157482237</v>
      </c>
      <c r="I36" s="54">
        <f t="shared" si="10"/>
        <v>25124074.084930059</v>
      </c>
      <c r="J36" s="137"/>
      <c r="K36" s="128"/>
      <c r="L36" s="128"/>
      <c r="M36" s="129"/>
      <c r="N36" s="129"/>
      <c r="O36" s="129"/>
      <c r="P36" s="129"/>
      <c r="Q36" s="129"/>
      <c r="R36" s="129"/>
      <c r="S36" s="129"/>
      <c r="T36" s="129"/>
      <c r="U36" s="129"/>
      <c r="V36" s="129"/>
      <c r="W36" s="129"/>
      <c r="X36" s="129"/>
      <c r="Y36" s="129"/>
      <c r="Z36" s="129"/>
      <c r="AA36" s="130"/>
      <c r="AB36" s="78"/>
      <c r="AC36" s="78"/>
      <c r="AD36" s="78"/>
      <c r="AE36" s="78"/>
      <c r="AF36" s="78"/>
      <c r="AG36" s="78"/>
      <c r="AL36" s="136"/>
      <c r="AM36" s="129"/>
      <c r="AN36" s="129"/>
      <c r="AO36" s="129"/>
      <c r="AP36" s="129"/>
      <c r="AQ36" s="129"/>
      <c r="AR36" s="129"/>
      <c r="AS36" s="129"/>
      <c r="AT36" s="129"/>
      <c r="AU36" s="129"/>
      <c r="AV36" s="129"/>
      <c r="AW36" s="129"/>
      <c r="AX36" s="129"/>
      <c r="AY36" s="129"/>
      <c r="AZ36" s="129"/>
      <c r="BA36" s="129"/>
      <c r="BB36" s="129"/>
      <c r="BC36" s="129"/>
      <c r="BD36" s="129"/>
      <c r="BE36" s="129"/>
      <c r="BF36" s="129"/>
      <c r="BG36" s="129"/>
      <c r="BH36" s="130"/>
    </row>
    <row r="37" spans="1:60" s="83" customFormat="1" ht="15.75" thickTop="1" x14ac:dyDescent="0.2">
      <c r="A37" s="133"/>
      <c r="B37" s="134"/>
      <c r="C37" s="89" t="s">
        <v>106</v>
      </c>
      <c r="D37" s="159">
        <f>D36</f>
        <v>-2789335.7599359313</v>
      </c>
      <c r="E37" s="159">
        <f>D37+E36</f>
        <v>2517948.9231664492</v>
      </c>
      <c r="F37" s="159">
        <f t="shared" ref="F37:H37" si="11">E37+F36</f>
        <v>8283021.36102584</v>
      </c>
      <c r="G37" s="159">
        <f t="shared" si="11"/>
        <v>15743352.169181846</v>
      </c>
      <c r="H37" s="159">
        <f t="shared" si="11"/>
        <v>25124074.08493007</v>
      </c>
      <c r="I37" s="160">
        <f>H37</f>
        <v>25124074.08493007</v>
      </c>
      <c r="J37" s="137"/>
      <c r="K37" s="128"/>
      <c r="L37" s="128"/>
      <c r="M37" s="129"/>
      <c r="N37" s="129"/>
      <c r="O37" s="129"/>
      <c r="P37" s="129"/>
      <c r="Q37" s="129"/>
      <c r="R37" s="129"/>
      <c r="S37" s="129"/>
      <c r="T37" s="129"/>
      <c r="U37" s="129"/>
      <c r="V37" s="129"/>
      <c r="W37" s="129"/>
      <c r="X37" s="129"/>
      <c r="Y37" s="129"/>
      <c r="Z37" s="129"/>
      <c r="AA37" s="130"/>
      <c r="AB37" s="78"/>
      <c r="AC37" s="78"/>
      <c r="AD37" s="78"/>
      <c r="AE37" s="78"/>
      <c r="AF37" s="78"/>
      <c r="AG37" s="78"/>
      <c r="AL37" s="136"/>
      <c r="AM37" s="129"/>
      <c r="AN37" s="129"/>
      <c r="AO37" s="129"/>
      <c r="AP37" s="129"/>
      <c r="AQ37" s="129"/>
      <c r="AR37" s="129"/>
      <c r="AS37" s="129"/>
      <c r="AT37" s="129"/>
      <c r="AU37" s="129"/>
      <c r="AV37" s="129"/>
      <c r="AW37" s="129"/>
      <c r="AX37" s="129"/>
      <c r="AY37" s="129"/>
      <c r="AZ37" s="129"/>
      <c r="BA37" s="129"/>
      <c r="BB37" s="129"/>
      <c r="BC37" s="129"/>
      <c r="BD37" s="129"/>
      <c r="BE37" s="129"/>
      <c r="BF37" s="129"/>
      <c r="BG37" s="129"/>
      <c r="BH37" s="130"/>
    </row>
    <row r="38" spans="1:60" s="144" customFormat="1" x14ac:dyDescent="0.2">
      <c r="A38" s="133"/>
      <c r="B38" s="125"/>
      <c r="D38" s="161"/>
      <c r="E38" s="161"/>
      <c r="F38" s="161"/>
      <c r="G38" s="161"/>
      <c r="H38" s="161"/>
      <c r="I38" s="161"/>
      <c r="J38" s="145"/>
      <c r="K38" s="128"/>
      <c r="L38" s="128"/>
      <c r="M38" s="129"/>
      <c r="N38" s="129"/>
      <c r="O38" s="129"/>
      <c r="P38" s="129"/>
      <c r="Q38" s="129"/>
      <c r="R38" s="129"/>
      <c r="S38" s="129"/>
      <c r="T38" s="129"/>
      <c r="U38" s="129"/>
      <c r="V38" s="129"/>
      <c r="W38" s="129"/>
      <c r="X38" s="129"/>
      <c r="Y38" s="129"/>
      <c r="Z38" s="129"/>
      <c r="AA38" s="130"/>
      <c r="AB38" s="78"/>
      <c r="AC38" s="78"/>
      <c r="AD38" s="78"/>
      <c r="AE38" s="78"/>
      <c r="AF38" s="146"/>
      <c r="AG38" s="147"/>
      <c r="AL38" s="129"/>
      <c r="AM38" s="129"/>
      <c r="AN38" s="129"/>
      <c r="AO38" s="129"/>
      <c r="AP38" s="129"/>
      <c r="AQ38" s="129"/>
      <c r="AR38" s="129"/>
      <c r="AS38" s="129"/>
      <c r="AT38" s="129"/>
      <c r="AU38" s="129"/>
      <c r="AV38" s="129"/>
      <c r="AW38" s="129"/>
      <c r="AX38" s="129"/>
      <c r="AY38" s="129"/>
      <c r="AZ38" s="129"/>
      <c r="BA38" s="129"/>
      <c r="BB38" s="129"/>
      <c r="BC38" s="129"/>
      <c r="BD38" s="129"/>
      <c r="BE38" s="129"/>
      <c r="BF38" s="129"/>
      <c r="BG38" s="129"/>
      <c r="BH38" s="129"/>
    </row>
    <row r="39" spans="1:60" s="83" customFormat="1" ht="15.75" thickBot="1" x14ac:dyDescent="0.25">
      <c r="A39" s="133"/>
      <c r="B39" s="134"/>
      <c r="C39" s="52" t="s">
        <v>105</v>
      </c>
      <c r="D39" s="53"/>
      <c r="E39" s="53"/>
      <c r="F39" s="53"/>
      <c r="G39" s="53"/>
      <c r="H39" s="53"/>
      <c r="I39" s="54"/>
      <c r="J39" s="137"/>
      <c r="K39" s="128"/>
      <c r="L39" s="128"/>
      <c r="M39" s="129"/>
      <c r="N39" s="129"/>
      <c r="O39" s="129"/>
      <c r="P39" s="129"/>
      <c r="Q39" s="129"/>
      <c r="R39" s="129"/>
      <c r="S39" s="129"/>
      <c r="T39" s="129"/>
      <c r="U39" s="129"/>
      <c r="V39" s="129"/>
      <c r="W39" s="129"/>
      <c r="X39" s="129"/>
      <c r="Y39" s="129"/>
      <c r="Z39" s="129"/>
      <c r="AA39" s="130"/>
      <c r="AB39" s="78"/>
      <c r="AC39" s="78"/>
      <c r="AD39" s="78"/>
      <c r="AE39" s="78"/>
      <c r="AF39" s="78"/>
      <c r="AG39" s="78"/>
      <c r="AL39" s="136"/>
      <c r="AM39" s="129"/>
      <c r="AN39" s="129"/>
      <c r="AO39" s="129"/>
      <c r="AP39" s="129"/>
      <c r="AQ39" s="129"/>
      <c r="AR39" s="129"/>
      <c r="AS39" s="129"/>
      <c r="AT39" s="129"/>
      <c r="AU39" s="129"/>
      <c r="AV39" s="129"/>
      <c r="AW39" s="129"/>
      <c r="AX39" s="129"/>
      <c r="AY39" s="129"/>
      <c r="AZ39" s="129"/>
      <c r="BA39" s="129"/>
      <c r="BB39" s="129"/>
      <c r="BC39" s="129"/>
      <c r="BD39" s="129"/>
      <c r="BE39" s="129"/>
      <c r="BF39" s="129"/>
      <c r="BG39" s="129"/>
      <c r="BH39" s="130"/>
    </row>
    <row r="40" spans="1:60" s="83" customFormat="1" ht="15.75" thickTop="1" x14ac:dyDescent="0.2">
      <c r="A40" s="133"/>
      <c r="B40" s="134"/>
      <c r="C40" s="88" t="s">
        <v>105</v>
      </c>
      <c r="D40" s="93">
        <f>D36/(1+$F$45)^(D5)</f>
        <v>-2535759.7817599373</v>
      </c>
      <c r="E40" s="93">
        <f>E36/(1+$F$45)^(E5)</f>
        <v>4386185.688514363</v>
      </c>
      <c r="F40" s="93">
        <f>F36/(1+$F$45)^(F5)</f>
        <v>4331384.2508335002</v>
      </c>
      <c r="G40" s="93">
        <f>G36/(1+$F$45)^(G5)</f>
        <v>5095506.3234451218</v>
      </c>
      <c r="H40" s="93">
        <f>H36/(1+$F$45)^(H5)</f>
        <v>5824690.2631763974</v>
      </c>
      <c r="I40" s="162">
        <f>SUM(D40:H40)</f>
        <v>17102006.744209446</v>
      </c>
      <c r="J40" s="137"/>
      <c r="K40" s="128"/>
      <c r="L40" s="128"/>
      <c r="M40" s="129"/>
      <c r="N40" s="129"/>
      <c r="O40" s="129"/>
      <c r="P40" s="129"/>
      <c r="Q40" s="129"/>
      <c r="R40" s="129"/>
      <c r="S40" s="129"/>
      <c r="T40" s="129"/>
      <c r="U40" s="129"/>
      <c r="V40" s="129"/>
      <c r="W40" s="129"/>
      <c r="X40" s="129"/>
      <c r="Y40" s="129"/>
      <c r="Z40" s="129"/>
      <c r="AA40" s="130"/>
      <c r="AB40" s="78"/>
      <c r="AC40" s="78"/>
      <c r="AD40" s="78"/>
      <c r="AE40" s="78"/>
      <c r="AF40" s="78"/>
      <c r="AG40" s="78"/>
      <c r="AL40" s="136"/>
      <c r="AM40" s="129"/>
      <c r="AN40" s="129"/>
      <c r="AO40" s="129"/>
      <c r="AP40" s="129"/>
      <c r="AQ40" s="129"/>
      <c r="AR40" s="129"/>
      <c r="AS40" s="129"/>
      <c r="AT40" s="129"/>
      <c r="AU40" s="129"/>
      <c r="AV40" s="129"/>
      <c r="AW40" s="129"/>
      <c r="AX40" s="129"/>
      <c r="AY40" s="129"/>
      <c r="AZ40" s="129"/>
      <c r="BA40" s="129"/>
      <c r="BB40" s="129"/>
      <c r="BC40" s="129"/>
      <c r="BD40" s="129"/>
      <c r="BE40" s="129"/>
      <c r="BF40" s="129"/>
      <c r="BG40" s="129"/>
      <c r="BH40" s="130"/>
    </row>
    <row r="41" spans="1:60" s="83" customFormat="1" x14ac:dyDescent="0.2">
      <c r="A41" s="133"/>
      <c r="B41" s="134"/>
      <c r="C41" s="89" t="s">
        <v>110</v>
      </c>
      <c r="D41" s="159">
        <f>D40</f>
        <v>-2535759.7817599373</v>
      </c>
      <c r="E41" s="159">
        <f>D41+E40</f>
        <v>1850425.9067544257</v>
      </c>
      <c r="F41" s="159">
        <f t="shared" ref="F41:H41" si="12">E41+F40</f>
        <v>6181810.1575879259</v>
      </c>
      <c r="G41" s="159">
        <f t="shared" si="12"/>
        <v>11277316.481033048</v>
      </c>
      <c r="H41" s="159">
        <f t="shared" si="12"/>
        <v>17102006.744209446</v>
      </c>
      <c r="I41" s="160"/>
      <c r="J41" s="137"/>
      <c r="K41" s="128"/>
      <c r="L41" s="128"/>
      <c r="M41" s="129"/>
      <c r="N41" s="129"/>
      <c r="O41" s="129"/>
      <c r="P41" s="129"/>
      <c r="Q41" s="129"/>
      <c r="R41" s="129"/>
      <c r="S41" s="129"/>
      <c r="T41" s="129"/>
      <c r="U41" s="129"/>
      <c r="V41" s="129"/>
      <c r="W41" s="129"/>
      <c r="X41" s="129"/>
      <c r="Y41" s="129"/>
      <c r="Z41" s="129"/>
      <c r="AA41" s="130"/>
      <c r="AB41" s="78"/>
      <c r="AC41" s="78"/>
      <c r="AD41" s="78"/>
      <c r="AE41" s="78"/>
      <c r="AF41" s="78"/>
      <c r="AG41" s="78"/>
      <c r="AL41" s="136"/>
      <c r="AM41" s="129"/>
      <c r="AN41" s="129"/>
      <c r="AO41" s="129"/>
      <c r="AP41" s="129"/>
      <c r="AQ41" s="129"/>
      <c r="AR41" s="129"/>
      <c r="AS41" s="129"/>
      <c r="AT41" s="129"/>
      <c r="AU41" s="129"/>
      <c r="AV41" s="129"/>
      <c r="AW41" s="129"/>
      <c r="AX41" s="129"/>
      <c r="AY41" s="129"/>
      <c r="AZ41" s="129"/>
      <c r="BA41" s="129"/>
      <c r="BB41" s="129"/>
      <c r="BC41" s="129"/>
      <c r="BD41" s="129"/>
      <c r="BE41" s="129"/>
      <c r="BF41" s="129"/>
      <c r="BG41" s="129"/>
      <c r="BH41" s="130"/>
    </row>
    <row r="42" spans="1:60" s="124" customFormat="1" ht="12.6" customHeight="1" x14ac:dyDescent="0.2">
      <c r="A42" s="152"/>
      <c r="B42" s="153"/>
      <c r="D42" s="163">
        <f>Модель!BP130-D36</f>
        <v>0</v>
      </c>
      <c r="E42" s="163">
        <f>Модель!BQ130-E36</f>
        <v>0</v>
      </c>
      <c r="F42" s="163">
        <f>Модель!BR130-F36</f>
        <v>0</v>
      </c>
      <c r="G42" s="163">
        <f>Модель!BS130-G36</f>
        <v>0</v>
      </c>
      <c r="H42" s="163">
        <f>Модель!BT130-H36</f>
        <v>0</v>
      </c>
      <c r="I42" s="163">
        <f>Модель!BU130-I36</f>
        <v>0</v>
      </c>
      <c r="J42" s="155"/>
      <c r="K42" s="156"/>
      <c r="L42" s="156"/>
      <c r="M42" s="156"/>
      <c r="N42" s="156"/>
      <c r="O42" s="156"/>
      <c r="P42" s="156"/>
      <c r="Q42" s="156"/>
      <c r="R42" s="156"/>
      <c r="S42" s="156"/>
      <c r="T42" s="156"/>
      <c r="U42" s="156"/>
      <c r="V42" s="156"/>
      <c r="W42" s="156"/>
      <c r="X42" s="156"/>
      <c r="Y42" s="156"/>
      <c r="Z42" s="156"/>
      <c r="AA42" s="157"/>
      <c r="AB42" s="78"/>
      <c r="AC42" s="78"/>
      <c r="AD42" s="78"/>
      <c r="AE42" s="78"/>
      <c r="AF42" s="123"/>
      <c r="AL42" s="156"/>
      <c r="AM42" s="156"/>
      <c r="AN42" s="156"/>
      <c r="AO42" s="156"/>
      <c r="AP42" s="156"/>
      <c r="AQ42" s="156"/>
      <c r="AR42" s="156"/>
      <c r="AS42" s="156"/>
      <c r="AT42" s="156"/>
      <c r="AU42" s="156"/>
      <c r="AV42" s="156"/>
      <c r="AW42" s="156"/>
      <c r="AX42" s="156"/>
      <c r="AY42" s="156"/>
      <c r="AZ42" s="156"/>
      <c r="BA42" s="156"/>
      <c r="BB42" s="156"/>
      <c r="BC42" s="156"/>
      <c r="BD42" s="156"/>
      <c r="BE42" s="156"/>
      <c r="BF42" s="156"/>
      <c r="BG42" s="156"/>
      <c r="BH42" s="156"/>
    </row>
    <row r="43" spans="1:60" s="126" customFormat="1" ht="15.75" thickBot="1" x14ac:dyDescent="0.25">
      <c r="A43" s="133"/>
      <c r="B43" s="125"/>
      <c r="G43" s="129"/>
      <c r="H43" s="129"/>
      <c r="I43" s="129"/>
      <c r="J43" s="128"/>
      <c r="K43" s="128"/>
      <c r="L43" s="128"/>
      <c r="M43" s="129"/>
      <c r="N43" s="129"/>
      <c r="O43" s="129"/>
      <c r="P43" s="129"/>
      <c r="Q43" s="129"/>
      <c r="R43" s="129"/>
      <c r="S43" s="129"/>
      <c r="T43" s="129"/>
      <c r="U43" s="129"/>
      <c r="V43" s="129"/>
      <c r="W43" s="129"/>
      <c r="X43" s="129"/>
      <c r="Y43" s="129"/>
      <c r="Z43" s="129"/>
      <c r="AA43" s="130"/>
      <c r="AB43" s="78"/>
      <c r="AC43" s="78"/>
      <c r="AD43" s="78"/>
      <c r="AE43" s="78"/>
      <c r="AF43" s="131"/>
      <c r="AG43" s="132"/>
      <c r="AL43" s="129"/>
      <c r="AM43" s="129"/>
      <c r="AN43" s="129"/>
      <c r="AO43" s="129"/>
      <c r="AP43" s="129"/>
      <c r="AQ43" s="129"/>
      <c r="AR43" s="129"/>
      <c r="AS43" s="129"/>
      <c r="AT43" s="129"/>
      <c r="AU43" s="129"/>
      <c r="AV43" s="129"/>
      <c r="AW43" s="129"/>
      <c r="AX43" s="129"/>
      <c r="AY43" s="129"/>
      <c r="AZ43" s="129"/>
      <c r="BA43" s="129"/>
      <c r="BB43" s="129"/>
      <c r="BC43" s="129"/>
      <c r="BD43" s="129"/>
      <c r="BE43" s="129"/>
      <c r="BF43" s="129"/>
      <c r="BG43" s="129"/>
      <c r="BH43" s="129"/>
    </row>
    <row r="44" spans="1:60" s="83" customFormat="1" ht="15.75" thickBot="1" x14ac:dyDescent="0.25">
      <c r="A44" s="133"/>
      <c r="B44" s="134"/>
      <c r="C44" s="46" t="s">
        <v>163</v>
      </c>
      <c r="D44" s="47"/>
      <c r="E44" s="47"/>
      <c r="F44" s="48"/>
      <c r="G44" s="136"/>
      <c r="H44" s="129"/>
      <c r="I44" s="129"/>
      <c r="J44" s="128"/>
      <c r="K44" s="128"/>
      <c r="L44" s="128"/>
      <c r="M44" s="129"/>
      <c r="N44" s="129"/>
      <c r="O44" s="129"/>
      <c r="P44" s="129"/>
      <c r="Q44" s="129"/>
      <c r="R44" s="129"/>
      <c r="S44" s="129"/>
      <c r="T44" s="129"/>
      <c r="U44" s="129"/>
      <c r="V44" s="129"/>
      <c r="W44" s="129"/>
      <c r="X44" s="129"/>
      <c r="Y44" s="129"/>
      <c r="Z44" s="129"/>
      <c r="AA44" s="130"/>
      <c r="AB44" s="78"/>
      <c r="AC44" s="78"/>
      <c r="AD44" s="78"/>
      <c r="AE44" s="78"/>
      <c r="AF44" s="78"/>
      <c r="AG44" s="78"/>
      <c r="AL44" s="136"/>
      <c r="AM44" s="129"/>
      <c r="AN44" s="129"/>
      <c r="AO44" s="129"/>
      <c r="AP44" s="129"/>
      <c r="AQ44" s="129"/>
      <c r="AR44" s="129"/>
      <c r="AS44" s="129"/>
      <c r="AT44" s="129"/>
      <c r="AU44" s="129"/>
      <c r="AV44" s="129"/>
      <c r="AW44" s="129"/>
      <c r="AX44" s="129"/>
      <c r="AY44" s="129"/>
      <c r="AZ44" s="129"/>
      <c r="BA44" s="129"/>
      <c r="BB44" s="129"/>
      <c r="BC44" s="129"/>
      <c r="BD44" s="129"/>
      <c r="BE44" s="129"/>
      <c r="BF44" s="129"/>
      <c r="BG44" s="129"/>
      <c r="BH44" s="130"/>
    </row>
    <row r="45" spans="1:60" s="83" customFormat="1" x14ac:dyDescent="0.2">
      <c r="A45" s="133"/>
      <c r="B45" s="134"/>
      <c r="C45" s="164" t="s">
        <v>59</v>
      </c>
      <c r="D45" s="165"/>
      <c r="E45" s="166"/>
      <c r="F45" s="167">
        <v>0.1</v>
      </c>
      <c r="G45" s="136"/>
      <c r="H45" s="129"/>
      <c r="I45" s="129"/>
      <c r="J45" s="128"/>
      <c r="K45" s="128"/>
      <c r="L45" s="128"/>
      <c r="M45" s="129"/>
      <c r="N45" s="129"/>
      <c r="O45" s="129"/>
      <c r="P45" s="129"/>
      <c r="Q45" s="129"/>
      <c r="R45" s="129"/>
      <c r="S45" s="129"/>
      <c r="T45" s="129"/>
      <c r="U45" s="129"/>
      <c r="V45" s="129"/>
      <c r="W45" s="129"/>
      <c r="X45" s="129"/>
      <c r="Y45" s="129"/>
      <c r="Z45" s="129"/>
      <c r="AA45" s="130"/>
      <c r="AB45" s="78"/>
      <c r="AC45" s="78"/>
      <c r="AD45" s="78"/>
      <c r="AE45" s="78"/>
      <c r="AF45" s="78"/>
      <c r="AG45" s="78"/>
      <c r="AL45" s="136"/>
      <c r="AM45" s="129"/>
      <c r="AN45" s="129"/>
      <c r="AO45" s="129"/>
      <c r="AP45" s="129"/>
      <c r="AQ45" s="129"/>
      <c r="AR45" s="129"/>
      <c r="AS45" s="129"/>
      <c r="AT45" s="129"/>
      <c r="AU45" s="129"/>
      <c r="AV45" s="129"/>
      <c r="AW45" s="129"/>
      <c r="AX45" s="129"/>
      <c r="AY45" s="129"/>
      <c r="AZ45" s="129"/>
      <c r="BA45" s="129"/>
      <c r="BB45" s="129"/>
      <c r="BC45" s="129"/>
      <c r="BD45" s="129"/>
      <c r="BE45" s="129"/>
      <c r="BF45" s="129"/>
      <c r="BG45" s="129"/>
      <c r="BH45" s="130"/>
    </row>
    <row r="46" spans="1:60" s="83" customFormat="1" x14ac:dyDescent="0.2">
      <c r="A46" s="133"/>
      <c r="B46" s="134"/>
      <c r="C46" s="168" t="s">
        <v>60</v>
      </c>
      <c r="D46" s="169" t="s">
        <v>25</v>
      </c>
      <c r="E46" s="170"/>
      <c r="F46" s="171">
        <f>D31</f>
        <v>6042080</v>
      </c>
      <c r="G46" s="136"/>
      <c r="H46" s="129"/>
      <c r="I46" s="129"/>
      <c r="J46" s="128"/>
      <c r="K46" s="128"/>
      <c r="L46" s="128"/>
      <c r="M46" s="129"/>
      <c r="N46" s="129"/>
      <c r="O46" s="129"/>
      <c r="P46" s="129"/>
      <c r="Q46" s="129"/>
      <c r="R46" s="129"/>
      <c r="S46" s="129"/>
      <c r="T46" s="129"/>
      <c r="U46" s="129"/>
      <c r="V46" s="129"/>
      <c r="W46" s="129"/>
      <c r="X46" s="129"/>
      <c r="Y46" s="129"/>
      <c r="Z46" s="129"/>
      <c r="AA46" s="130"/>
      <c r="AB46" s="78"/>
      <c r="AC46" s="78"/>
      <c r="AD46" s="78"/>
      <c r="AE46" s="78"/>
      <c r="AF46" s="78"/>
      <c r="AG46" s="78"/>
      <c r="AL46" s="136"/>
      <c r="AM46" s="129"/>
      <c r="AN46" s="129"/>
      <c r="AO46" s="129"/>
      <c r="AP46" s="129"/>
      <c r="AQ46" s="129"/>
      <c r="AR46" s="129"/>
      <c r="AS46" s="129"/>
      <c r="AT46" s="129"/>
      <c r="AU46" s="129"/>
      <c r="AV46" s="129"/>
      <c r="AW46" s="129"/>
      <c r="AX46" s="129"/>
      <c r="AY46" s="129"/>
      <c r="AZ46" s="129"/>
      <c r="BA46" s="129"/>
      <c r="BB46" s="129"/>
      <c r="BC46" s="129"/>
      <c r="BD46" s="129"/>
      <c r="BE46" s="129"/>
      <c r="BF46" s="129"/>
      <c r="BG46" s="129"/>
      <c r="BH46" s="130"/>
    </row>
    <row r="47" spans="1:60" s="83" customFormat="1" x14ac:dyDescent="0.2">
      <c r="A47" s="133"/>
      <c r="B47" s="134"/>
      <c r="C47" s="45" t="s">
        <v>58</v>
      </c>
      <c r="D47" s="73" t="s">
        <v>43</v>
      </c>
      <c r="E47" s="74"/>
      <c r="F47" s="75">
        <f>Модель!D132</f>
        <v>18</v>
      </c>
      <c r="G47" s="136"/>
      <c r="H47" s="129"/>
      <c r="I47" s="129"/>
      <c r="J47" s="128"/>
      <c r="K47" s="128"/>
      <c r="L47" s="128"/>
      <c r="M47" s="129"/>
      <c r="N47" s="129"/>
      <c r="O47" s="129"/>
      <c r="P47" s="129"/>
      <c r="Q47" s="129"/>
      <c r="R47" s="129"/>
      <c r="S47" s="129"/>
      <c r="T47" s="129"/>
      <c r="U47" s="129"/>
      <c r="V47" s="129"/>
      <c r="W47" s="129"/>
      <c r="X47" s="129"/>
      <c r="Y47" s="129"/>
      <c r="Z47" s="129"/>
      <c r="AA47" s="130"/>
      <c r="AB47" s="78"/>
      <c r="AC47" s="78"/>
      <c r="AD47" s="78"/>
      <c r="AE47" s="78"/>
      <c r="AF47" s="78"/>
      <c r="AG47" s="78"/>
      <c r="AL47" s="136"/>
      <c r="AM47" s="129"/>
      <c r="AN47" s="129"/>
      <c r="AO47" s="129"/>
      <c r="AP47" s="129"/>
      <c r="AQ47" s="129"/>
      <c r="AR47" s="129"/>
      <c r="AS47" s="129"/>
      <c r="AT47" s="129"/>
      <c r="AU47" s="129"/>
      <c r="AV47" s="129"/>
      <c r="AW47" s="129"/>
      <c r="AX47" s="129"/>
      <c r="AY47" s="129"/>
      <c r="AZ47" s="129"/>
      <c r="BA47" s="129"/>
      <c r="BB47" s="129"/>
      <c r="BC47" s="129"/>
      <c r="BD47" s="129"/>
      <c r="BE47" s="129"/>
      <c r="BF47" s="129"/>
      <c r="BG47" s="129"/>
      <c r="BH47" s="130"/>
    </row>
    <row r="48" spans="1:60" s="83" customFormat="1" ht="27.75" x14ac:dyDescent="0.2">
      <c r="A48" s="133"/>
      <c r="B48" s="134"/>
      <c r="C48" s="168" t="s">
        <v>107</v>
      </c>
      <c r="D48" s="169" t="s">
        <v>43</v>
      </c>
      <c r="E48" s="170"/>
      <c r="F48" s="172">
        <f>Модель!D138</f>
        <v>19</v>
      </c>
      <c r="G48" s="136"/>
      <c r="H48" s="129"/>
      <c r="I48" s="129"/>
      <c r="J48" s="128"/>
      <c r="K48" s="128"/>
      <c r="L48" s="128"/>
      <c r="M48" s="129"/>
      <c r="N48" s="129"/>
      <c r="O48" s="129"/>
      <c r="P48" s="129"/>
      <c r="Q48" s="129"/>
      <c r="R48" s="129"/>
      <c r="S48" s="129"/>
      <c r="T48" s="129"/>
      <c r="U48" s="129"/>
      <c r="V48" s="129"/>
      <c r="W48" s="129"/>
      <c r="X48" s="129"/>
      <c r="Y48" s="129"/>
      <c r="Z48" s="129"/>
      <c r="AA48" s="130"/>
      <c r="AB48" s="78"/>
      <c r="AC48" s="78"/>
      <c r="AD48" s="78"/>
      <c r="AE48" s="78"/>
      <c r="AF48" s="78"/>
      <c r="AG48" s="78"/>
      <c r="AL48" s="136"/>
      <c r="AM48" s="129"/>
      <c r="AN48" s="129"/>
      <c r="AO48" s="129"/>
      <c r="AP48" s="129"/>
      <c r="AQ48" s="129"/>
      <c r="AR48" s="129"/>
      <c r="AS48" s="129"/>
      <c r="AT48" s="129"/>
      <c r="AU48" s="129"/>
      <c r="AV48" s="129"/>
      <c r="AW48" s="129"/>
      <c r="AX48" s="129"/>
      <c r="AY48" s="129"/>
      <c r="AZ48" s="129"/>
      <c r="BA48" s="129"/>
      <c r="BB48" s="129"/>
      <c r="BC48" s="129"/>
      <c r="BD48" s="129"/>
      <c r="BE48" s="129"/>
      <c r="BF48" s="129"/>
      <c r="BG48" s="129"/>
      <c r="BH48" s="130"/>
    </row>
    <row r="49" spans="1:60" s="83" customFormat="1" x14ac:dyDescent="0.2">
      <c r="A49" s="133"/>
      <c r="B49" s="134"/>
      <c r="C49" s="168" t="s">
        <v>8</v>
      </c>
      <c r="D49" s="169" t="s">
        <v>25</v>
      </c>
      <c r="E49" s="170"/>
      <c r="F49" s="171">
        <f>NPV(F45,D36:H36)</f>
        <v>17102006.744209446</v>
      </c>
      <c r="G49" s="136"/>
      <c r="H49" s="129"/>
      <c r="I49" s="129"/>
      <c r="J49" s="128"/>
      <c r="K49" s="128"/>
      <c r="L49" s="128"/>
      <c r="M49" s="129"/>
      <c r="N49" s="129"/>
      <c r="O49" s="129"/>
      <c r="P49" s="129"/>
      <c r="Q49" s="129"/>
      <c r="R49" s="129"/>
      <c r="S49" s="129"/>
      <c r="T49" s="129"/>
      <c r="U49" s="129"/>
      <c r="V49" s="129"/>
      <c r="W49" s="129"/>
      <c r="X49" s="129"/>
      <c r="Y49" s="129"/>
      <c r="Z49" s="129"/>
      <c r="AA49" s="130"/>
      <c r="AB49" s="78"/>
      <c r="AC49" s="78"/>
      <c r="AD49" s="78"/>
      <c r="AE49" s="78"/>
      <c r="AF49" s="78"/>
      <c r="AG49" s="78"/>
      <c r="AL49" s="136"/>
      <c r="AM49" s="129"/>
      <c r="AN49" s="129"/>
      <c r="AO49" s="129"/>
      <c r="AP49" s="129"/>
      <c r="AQ49" s="129"/>
      <c r="AR49" s="129"/>
      <c r="AS49" s="129"/>
      <c r="AT49" s="129"/>
      <c r="AU49" s="129"/>
      <c r="AV49" s="129"/>
      <c r="AW49" s="129"/>
      <c r="AX49" s="129"/>
      <c r="AY49" s="129"/>
      <c r="AZ49" s="129"/>
      <c r="BA49" s="129"/>
      <c r="BB49" s="129"/>
      <c r="BC49" s="129"/>
      <c r="BD49" s="129"/>
      <c r="BE49" s="129"/>
      <c r="BF49" s="129"/>
      <c r="BG49" s="129"/>
      <c r="BH49" s="130"/>
    </row>
    <row r="50" spans="1:60" s="83" customFormat="1" ht="15.75" thickBot="1" x14ac:dyDescent="0.25">
      <c r="A50" s="133"/>
      <c r="B50" s="134"/>
      <c r="C50" s="173" t="s">
        <v>9</v>
      </c>
      <c r="D50" s="174" t="s">
        <v>7</v>
      </c>
      <c r="E50" s="175"/>
      <c r="F50" s="176">
        <f>IF(ISERROR(IRR(D36:H36)),0,IRR(D36:H36))</f>
        <v>2.0086332558830162</v>
      </c>
      <c r="G50" s="136"/>
      <c r="H50" s="129"/>
      <c r="I50" s="129"/>
      <c r="J50" s="128"/>
      <c r="K50" s="128"/>
      <c r="L50" s="128"/>
      <c r="M50" s="129"/>
      <c r="N50" s="129"/>
      <c r="O50" s="129"/>
      <c r="P50" s="129"/>
      <c r="Q50" s="129"/>
      <c r="R50" s="129"/>
      <c r="S50" s="129"/>
      <c r="T50" s="129"/>
      <c r="U50" s="129"/>
      <c r="V50" s="129"/>
      <c r="W50" s="129"/>
      <c r="X50" s="129"/>
      <c r="Y50" s="129"/>
      <c r="Z50" s="129"/>
      <c r="AA50" s="130"/>
      <c r="AB50" s="78"/>
      <c r="AC50" s="78"/>
      <c r="AD50" s="78"/>
      <c r="AE50" s="78"/>
      <c r="AF50" s="78"/>
      <c r="AG50" s="78"/>
      <c r="AL50" s="136"/>
      <c r="AM50" s="129"/>
      <c r="AN50" s="129"/>
      <c r="AO50" s="129"/>
      <c r="AP50" s="129"/>
      <c r="AQ50" s="129"/>
      <c r="AR50" s="129"/>
      <c r="AS50" s="129"/>
      <c r="AT50" s="129"/>
      <c r="AU50" s="129"/>
      <c r="AV50" s="129"/>
      <c r="AW50" s="129"/>
      <c r="AX50" s="129"/>
      <c r="AY50" s="129"/>
      <c r="AZ50" s="129"/>
      <c r="BA50" s="129"/>
      <c r="BB50" s="129"/>
      <c r="BC50" s="129"/>
      <c r="BD50" s="129"/>
      <c r="BE50" s="129"/>
      <c r="BF50" s="129"/>
      <c r="BG50" s="129"/>
      <c r="BH50" s="130"/>
    </row>
    <row r="51" spans="1:60" s="120" customFormat="1" x14ac:dyDescent="0.2">
      <c r="A51" s="133"/>
      <c r="B51" s="125"/>
      <c r="C51" s="68"/>
      <c r="D51" s="69"/>
      <c r="E51" s="70"/>
      <c r="F51" s="72"/>
      <c r="G51" s="129"/>
      <c r="H51" s="129"/>
      <c r="I51" s="129"/>
      <c r="J51" s="128"/>
      <c r="K51" s="128"/>
      <c r="L51" s="128"/>
      <c r="M51" s="129"/>
      <c r="N51" s="129"/>
      <c r="O51" s="129"/>
      <c r="P51" s="129"/>
      <c r="Q51" s="129"/>
      <c r="R51" s="129"/>
      <c r="S51" s="129"/>
      <c r="T51" s="129"/>
      <c r="U51" s="129"/>
      <c r="V51" s="129"/>
      <c r="W51" s="129"/>
      <c r="X51" s="129"/>
      <c r="Y51" s="129"/>
      <c r="Z51" s="129"/>
      <c r="AA51" s="130"/>
      <c r="AB51" s="78"/>
      <c r="AC51" s="78"/>
      <c r="AD51" s="78"/>
      <c r="AE51" s="78"/>
      <c r="AF51" s="123"/>
      <c r="AG51" s="124"/>
      <c r="AL51" s="129"/>
      <c r="AM51" s="129"/>
      <c r="AN51" s="129"/>
      <c r="AO51" s="129"/>
      <c r="AP51" s="129"/>
      <c r="AQ51" s="129"/>
      <c r="AR51" s="129"/>
      <c r="AS51" s="129"/>
      <c r="AT51" s="129"/>
      <c r="AU51" s="129"/>
      <c r="AV51" s="129"/>
      <c r="AW51" s="129"/>
      <c r="AX51" s="129"/>
      <c r="AY51" s="129"/>
      <c r="AZ51" s="129"/>
      <c r="BA51" s="129"/>
      <c r="BB51" s="129"/>
      <c r="BC51" s="129"/>
      <c r="BD51" s="129"/>
      <c r="BE51" s="129"/>
      <c r="BF51" s="129"/>
      <c r="BG51" s="129"/>
      <c r="BH51" s="129"/>
    </row>
    <row r="52" spans="1:60" s="126" customFormat="1" x14ac:dyDescent="0.2">
      <c r="A52" s="133"/>
      <c r="B52" s="125"/>
      <c r="C52" s="71"/>
      <c r="D52" s="129"/>
      <c r="E52" s="129"/>
      <c r="F52" s="129"/>
      <c r="G52" s="129"/>
      <c r="H52" s="129"/>
      <c r="I52" s="129"/>
      <c r="J52" s="128"/>
      <c r="K52" s="128"/>
      <c r="L52" s="128"/>
      <c r="M52" s="129"/>
      <c r="N52" s="129"/>
      <c r="O52" s="129"/>
      <c r="P52" s="129"/>
      <c r="Q52" s="129"/>
      <c r="R52" s="129"/>
      <c r="S52" s="129"/>
      <c r="T52" s="129"/>
      <c r="U52" s="129"/>
      <c r="V52" s="129"/>
      <c r="W52" s="129"/>
      <c r="X52" s="129"/>
      <c r="Y52" s="129"/>
      <c r="Z52" s="129"/>
      <c r="AA52" s="130"/>
      <c r="AB52" s="78"/>
      <c r="AC52" s="78"/>
      <c r="AD52" s="78"/>
      <c r="AE52" s="78"/>
      <c r="AF52" s="131"/>
      <c r="AG52" s="132"/>
      <c r="AL52" s="129"/>
      <c r="AM52" s="129"/>
      <c r="AN52" s="129"/>
      <c r="AO52" s="129"/>
      <c r="AP52" s="129"/>
      <c r="AQ52" s="129"/>
      <c r="AR52" s="129"/>
      <c r="AS52" s="129"/>
      <c r="AT52" s="129"/>
      <c r="AU52" s="129"/>
      <c r="AV52" s="129"/>
      <c r="AW52" s="129"/>
      <c r="AX52" s="129"/>
      <c r="AY52" s="129"/>
      <c r="AZ52" s="129"/>
      <c r="BA52" s="129"/>
      <c r="BB52" s="129"/>
      <c r="BC52" s="129"/>
      <c r="BD52" s="129"/>
      <c r="BE52" s="129"/>
      <c r="BF52" s="129"/>
      <c r="BG52" s="129"/>
      <c r="BH52" s="129"/>
    </row>
    <row r="53" spans="1:60" s="144" customFormat="1" ht="15.75" thickBot="1" x14ac:dyDescent="0.25">
      <c r="A53" s="133"/>
      <c r="B53" s="125"/>
      <c r="C53" s="126"/>
      <c r="D53" s="126"/>
      <c r="E53" s="129"/>
      <c r="F53" s="129"/>
      <c r="G53" s="129"/>
      <c r="H53" s="129"/>
      <c r="I53" s="129"/>
      <c r="J53" s="128"/>
      <c r="K53" s="128"/>
      <c r="L53" s="128"/>
      <c r="M53" s="129"/>
      <c r="N53" s="129"/>
      <c r="O53" s="129"/>
      <c r="P53" s="129"/>
      <c r="Q53" s="129"/>
      <c r="R53" s="129"/>
      <c r="S53" s="129"/>
      <c r="T53" s="129"/>
      <c r="U53" s="129"/>
      <c r="V53" s="129"/>
      <c r="W53" s="129"/>
      <c r="X53" s="129"/>
      <c r="Y53" s="129"/>
      <c r="Z53" s="129"/>
      <c r="AA53" s="130"/>
      <c r="AB53" s="78"/>
      <c r="AC53" s="78"/>
      <c r="AD53" s="78"/>
      <c r="AE53" s="78"/>
      <c r="AF53" s="146"/>
      <c r="AG53" s="147"/>
      <c r="AL53" s="129"/>
      <c r="AM53" s="129"/>
      <c r="AN53" s="129"/>
      <c r="AO53" s="129"/>
      <c r="AP53" s="129"/>
      <c r="AQ53" s="129"/>
      <c r="AR53" s="129"/>
      <c r="AS53" s="129"/>
      <c r="AT53" s="129"/>
      <c r="AU53" s="129"/>
      <c r="AV53" s="129"/>
      <c r="AW53" s="129"/>
      <c r="AX53" s="129"/>
      <c r="AY53" s="129"/>
      <c r="AZ53" s="129"/>
      <c r="BA53" s="129"/>
      <c r="BB53" s="129"/>
      <c r="BC53" s="129"/>
      <c r="BD53" s="129"/>
      <c r="BE53" s="129"/>
      <c r="BF53" s="129"/>
      <c r="BG53" s="129"/>
      <c r="BH53" s="129"/>
    </row>
    <row r="54" spans="1:60" s="83" customFormat="1" ht="28.5" thickBot="1" x14ac:dyDescent="0.25">
      <c r="A54" s="133"/>
      <c r="B54" s="134"/>
      <c r="C54" s="50" t="s">
        <v>135</v>
      </c>
      <c r="D54" s="51" t="s">
        <v>31</v>
      </c>
      <c r="E54" s="67"/>
      <c r="F54" s="129"/>
      <c r="G54" s="129"/>
      <c r="H54" s="129"/>
      <c r="I54" s="129"/>
      <c r="J54" s="128"/>
      <c r="K54" s="128"/>
      <c r="L54" s="128"/>
      <c r="M54" s="129"/>
      <c r="N54" s="129"/>
      <c r="O54" s="129"/>
      <c r="P54" s="129"/>
      <c r="Q54" s="129"/>
      <c r="R54" s="129"/>
      <c r="S54" s="129"/>
      <c r="T54" s="129"/>
      <c r="U54" s="129"/>
      <c r="V54" s="129"/>
      <c r="W54" s="129"/>
      <c r="X54" s="129"/>
      <c r="Y54" s="129"/>
      <c r="Z54" s="129"/>
      <c r="AA54" s="130"/>
      <c r="AB54" s="78"/>
      <c r="AC54" s="78"/>
      <c r="AD54" s="78"/>
      <c r="AE54" s="78"/>
      <c r="AF54" s="78"/>
      <c r="AG54" s="78"/>
      <c r="AL54" s="136"/>
      <c r="AM54" s="129"/>
      <c r="AN54" s="129"/>
      <c r="AO54" s="129"/>
      <c r="AP54" s="129"/>
      <c r="AQ54" s="129"/>
      <c r="AR54" s="129"/>
      <c r="AS54" s="129"/>
      <c r="AT54" s="129"/>
      <c r="AU54" s="129"/>
      <c r="AV54" s="129"/>
      <c r="AW54" s="129"/>
      <c r="AX54" s="129"/>
      <c r="AY54" s="129"/>
      <c r="AZ54" s="129"/>
      <c r="BA54" s="129"/>
      <c r="BB54" s="129"/>
      <c r="BC54" s="129"/>
      <c r="BD54" s="129"/>
      <c r="BE54" s="129"/>
      <c r="BF54" s="129"/>
      <c r="BG54" s="129"/>
      <c r="BH54" s="130"/>
    </row>
    <row r="55" spans="1:60" s="83" customFormat="1" x14ac:dyDescent="0.2">
      <c r="A55" s="133"/>
      <c r="B55" s="134"/>
      <c r="C55" s="177" t="s">
        <v>136</v>
      </c>
      <c r="D55" s="76">
        <v>1</v>
      </c>
      <c r="E55" s="136"/>
      <c r="F55" s="129"/>
      <c r="G55" s="129"/>
      <c r="H55" s="129"/>
      <c r="I55" s="129"/>
      <c r="J55" s="128"/>
      <c r="K55" s="128"/>
      <c r="L55" s="128"/>
      <c r="M55" s="129"/>
      <c r="N55" s="129"/>
      <c r="O55" s="129"/>
      <c r="P55" s="129"/>
      <c r="Q55" s="129"/>
      <c r="R55" s="129"/>
      <c r="S55" s="129"/>
      <c r="T55" s="129"/>
      <c r="U55" s="129"/>
      <c r="V55" s="129"/>
      <c r="W55" s="129"/>
      <c r="X55" s="129"/>
      <c r="Y55" s="129"/>
      <c r="Z55" s="129"/>
      <c r="AA55" s="130"/>
      <c r="AB55" s="78"/>
      <c r="AC55" s="78"/>
      <c r="AD55" s="78"/>
      <c r="AE55" s="78"/>
      <c r="AF55" s="78"/>
      <c r="AG55" s="78"/>
      <c r="AL55" s="136"/>
      <c r="AM55" s="129"/>
      <c r="AN55" s="129"/>
      <c r="AO55" s="129"/>
      <c r="AP55" s="129"/>
      <c r="AQ55" s="129"/>
      <c r="AR55" s="129"/>
      <c r="AS55" s="129"/>
      <c r="AT55" s="129"/>
      <c r="AU55" s="129"/>
      <c r="AV55" s="129"/>
      <c r="AW55" s="129"/>
      <c r="AX55" s="129"/>
      <c r="AY55" s="129"/>
      <c r="AZ55" s="129"/>
      <c r="BA55" s="129"/>
      <c r="BB55" s="129"/>
      <c r="BC55" s="129"/>
      <c r="BD55" s="129"/>
      <c r="BE55" s="129"/>
      <c r="BF55" s="129"/>
      <c r="BG55" s="129"/>
      <c r="BH55" s="130"/>
    </row>
    <row r="56" spans="1:60" s="83" customFormat="1" x14ac:dyDescent="0.2">
      <c r="A56" s="133"/>
      <c r="B56" s="134"/>
      <c r="C56" s="178" t="s">
        <v>137</v>
      </c>
      <c r="D56" s="77">
        <v>2</v>
      </c>
      <c r="E56" s="136"/>
      <c r="F56" s="129"/>
      <c r="G56" s="129"/>
      <c r="H56" s="129"/>
      <c r="I56" s="129"/>
      <c r="J56" s="128"/>
      <c r="K56" s="128"/>
      <c r="L56" s="128"/>
      <c r="M56" s="129"/>
      <c r="N56" s="129"/>
      <c r="O56" s="129"/>
      <c r="P56" s="129"/>
      <c r="Q56" s="129"/>
      <c r="R56" s="129"/>
      <c r="S56" s="129"/>
      <c r="T56" s="129"/>
      <c r="U56" s="129"/>
      <c r="V56" s="129"/>
      <c r="W56" s="129"/>
      <c r="X56" s="129"/>
      <c r="Y56" s="129"/>
      <c r="Z56" s="129"/>
      <c r="AA56" s="130"/>
      <c r="AB56" s="78"/>
      <c r="AC56" s="78"/>
      <c r="AD56" s="78"/>
      <c r="AE56" s="78"/>
      <c r="AF56" s="78"/>
      <c r="AG56" s="78"/>
      <c r="AL56" s="136"/>
      <c r="AM56" s="129"/>
      <c r="AN56" s="129"/>
      <c r="AO56" s="129"/>
      <c r="AP56" s="129"/>
      <c r="AQ56" s="129"/>
      <c r="AR56" s="129"/>
      <c r="AS56" s="129"/>
      <c r="AT56" s="129"/>
      <c r="AU56" s="129"/>
      <c r="AV56" s="129"/>
      <c r="AW56" s="129"/>
      <c r="AX56" s="129"/>
      <c r="AY56" s="129"/>
      <c r="AZ56" s="129"/>
      <c r="BA56" s="129"/>
      <c r="BB56" s="129"/>
      <c r="BC56" s="129"/>
      <c r="BD56" s="129"/>
      <c r="BE56" s="129"/>
      <c r="BF56" s="129"/>
      <c r="BG56" s="129"/>
      <c r="BH56" s="130"/>
    </row>
    <row r="57" spans="1:60" s="144" customFormat="1" ht="15.75" thickBot="1" x14ac:dyDescent="0.25">
      <c r="A57" s="133"/>
      <c r="B57" s="125"/>
      <c r="D57" s="161"/>
      <c r="E57" s="129"/>
      <c r="F57" s="129"/>
      <c r="G57" s="129"/>
      <c r="H57" s="129"/>
      <c r="I57" s="129"/>
      <c r="J57" s="128"/>
      <c r="K57" s="128"/>
      <c r="L57" s="128"/>
      <c r="M57" s="129"/>
      <c r="N57" s="129"/>
      <c r="O57" s="129"/>
      <c r="P57" s="129"/>
      <c r="Q57" s="129"/>
      <c r="R57" s="129"/>
      <c r="S57" s="129"/>
      <c r="T57" s="129"/>
      <c r="U57" s="129"/>
      <c r="V57" s="129"/>
      <c r="W57" s="129"/>
      <c r="X57" s="129"/>
      <c r="Y57" s="129"/>
      <c r="Z57" s="129"/>
      <c r="AA57" s="130"/>
      <c r="AB57" s="78"/>
      <c r="AC57" s="78"/>
      <c r="AD57" s="78"/>
      <c r="AE57" s="78"/>
      <c r="AF57" s="146"/>
      <c r="AG57" s="147"/>
      <c r="AL57" s="129"/>
      <c r="AM57" s="129"/>
      <c r="AN57" s="129"/>
      <c r="AO57" s="129"/>
      <c r="AP57" s="129"/>
      <c r="AQ57" s="129"/>
      <c r="AR57" s="129"/>
      <c r="AS57" s="129"/>
      <c r="AT57" s="129"/>
      <c r="AU57" s="129"/>
      <c r="AV57" s="129"/>
      <c r="AW57" s="129"/>
      <c r="AX57" s="129"/>
      <c r="AY57" s="129"/>
      <c r="AZ57" s="129"/>
      <c r="BA57" s="129"/>
      <c r="BB57" s="129"/>
      <c r="BC57" s="129"/>
      <c r="BD57" s="129"/>
      <c r="BE57" s="129"/>
      <c r="BF57" s="129"/>
      <c r="BG57" s="129"/>
      <c r="BH57" s="129"/>
    </row>
    <row r="58" spans="1:60" s="83" customFormat="1" ht="15.75" thickBot="1" x14ac:dyDescent="0.25">
      <c r="A58" s="133"/>
      <c r="B58" s="134"/>
      <c r="C58" s="46" t="s">
        <v>129</v>
      </c>
      <c r="D58" s="49"/>
      <c r="E58" s="136"/>
      <c r="F58" s="129"/>
      <c r="G58" s="129"/>
      <c r="H58" s="129"/>
      <c r="I58" s="129"/>
      <c r="J58" s="128"/>
      <c r="K58" s="128"/>
      <c r="L58" s="128"/>
      <c r="M58" s="129"/>
      <c r="N58" s="129"/>
      <c r="O58" s="129"/>
      <c r="P58" s="129"/>
      <c r="Q58" s="129"/>
      <c r="R58" s="129"/>
      <c r="S58" s="129"/>
      <c r="T58" s="129"/>
      <c r="U58" s="129"/>
      <c r="V58" s="129"/>
      <c r="W58" s="129"/>
      <c r="X58" s="129"/>
      <c r="Y58" s="129"/>
      <c r="Z58" s="129"/>
      <c r="AA58" s="130"/>
      <c r="AB58" s="78"/>
      <c r="AC58" s="78"/>
      <c r="AD58" s="78"/>
      <c r="AE58" s="78"/>
      <c r="AF58" s="78"/>
      <c r="AG58" s="78"/>
      <c r="AL58" s="136"/>
      <c r="AM58" s="129"/>
      <c r="AN58" s="129"/>
      <c r="AO58" s="129"/>
      <c r="AP58" s="129"/>
      <c r="AQ58" s="129"/>
      <c r="AR58" s="129"/>
      <c r="AS58" s="129"/>
      <c r="AT58" s="129"/>
      <c r="AU58" s="129"/>
      <c r="AV58" s="129"/>
      <c r="AW58" s="129"/>
      <c r="AX58" s="129"/>
      <c r="AY58" s="129"/>
      <c r="AZ58" s="129"/>
      <c r="BA58" s="129"/>
      <c r="BB58" s="129"/>
      <c r="BC58" s="129"/>
      <c r="BD58" s="129"/>
      <c r="BE58" s="129"/>
      <c r="BF58" s="129"/>
      <c r="BG58" s="129"/>
      <c r="BH58" s="130"/>
    </row>
    <row r="59" spans="1:60" s="83" customFormat="1" x14ac:dyDescent="0.2">
      <c r="A59" s="133"/>
      <c r="B59" s="134"/>
      <c r="C59" s="177" t="s">
        <v>124</v>
      </c>
      <c r="D59" s="179">
        <f>D55*E6</f>
        <v>11070504.552051404</v>
      </c>
      <c r="E59" s="136"/>
      <c r="F59" s="129"/>
      <c r="G59" s="129"/>
      <c r="H59" s="129"/>
      <c r="I59" s="129"/>
      <c r="J59" s="128"/>
      <c r="K59" s="128"/>
      <c r="L59" s="128"/>
      <c r="M59" s="129"/>
      <c r="N59" s="129"/>
      <c r="O59" s="129"/>
      <c r="P59" s="129"/>
      <c r="Q59" s="129"/>
      <c r="R59" s="129"/>
      <c r="S59" s="129"/>
      <c r="T59" s="129"/>
      <c r="U59" s="129"/>
      <c r="V59" s="129"/>
      <c r="W59" s="129"/>
      <c r="X59" s="129"/>
      <c r="Y59" s="129"/>
      <c r="Z59" s="129"/>
      <c r="AA59" s="130"/>
      <c r="AB59" s="78"/>
      <c r="AC59" s="78"/>
      <c r="AD59" s="78"/>
      <c r="AE59" s="78"/>
      <c r="AF59" s="78"/>
      <c r="AG59" s="78"/>
      <c r="AL59" s="136"/>
      <c r="AM59" s="129"/>
      <c r="AN59" s="129"/>
      <c r="AO59" s="129"/>
      <c r="AP59" s="129"/>
      <c r="AQ59" s="129"/>
      <c r="AR59" s="129"/>
      <c r="AS59" s="129"/>
      <c r="AT59" s="129"/>
      <c r="AU59" s="129"/>
      <c r="AV59" s="129"/>
      <c r="AW59" s="129"/>
      <c r="AX59" s="129"/>
      <c r="AY59" s="129"/>
      <c r="AZ59" s="129"/>
      <c r="BA59" s="129"/>
      <c r="BB59" s="129"/>
      <c r="BC59" s="129"/>
      <c r="BD59" s="129"/>
      <c r="BE59" s="129"/>
      <c r="BF59" s="129"/>
      <c r="BG59" s="129"/>
      <c r="BH59" s="130"/>
    </row>
    <row r="60" spans="1:60" s="83" customFormat="1" x14ac:dyDescent="0.2">
      <c r="A60" s="133"/>
      <c r="B60" s="134"/>
      <c r="C60" s="177" t="s">
        <v>125</v>
      </c>
      <c r="D60" s="179">
        <f>E27*D56</f>
        <v>10654834.850855028</v>
      </c>
      <c r="E60" s="136"/>
      <c r="F60" s="129"/>
      <c r="G60" s="129"/>
      <c r="H60" s="129"/>
      <c r="I60" s="129"/>
      <c r="J60" s="128"/>
      <c r="K60" s="128"/>
      <c r="L60" s="128"/>
      <c r="M60" s="129"/>
      <c r="N60" s="129"/>
      <c r="O60" s="129"/>
      <c r="P60" s="129"/>
      <c r="Q60" s="129"/>
      <c r="R60" s="129"/>
      <c r="S60" s="129"/>
      <c r="T60" s="129"/>
      <c r="U60" s="129"/>
      <c r="V60" s="129"/>
      <c r="W60" s="129"/>
      <c r="X60" s="129"/>
      <c r="Y60" s="129"/>
      <c r="Z60" s="129"/>
      <c r="AA60" s="130"/>
      <c r="AB60" s="78"/>
      <c r="AC60" s="78"/>
      <c r="AD60" s="78"/>
      <c r="AE60" s="78"/>
      <c r="AF60" s="78"/>
      <c r="AG60" s="78"/>
      <c r="AL60" s="136"/>
      <c r="AM60" s="129"/>
      <c r="AN60" s="129"/>
      <c r="AO60" s="129"/>
      <c r="AP60" s="129"/>
      <c r="AQ60" s="129"/>
      <c r="AR60" s="129"/>
      <c r="AS60" s="129"/>
      <c r="AT60" s="129"/>
      <c r="AU60" s="129"/>
      <c r="AV60" s="129"/>
      <c r="AW60" s="129"/>
      <c r="AX60" s="129"/>
      <c r="AY60" s="129"/>
      <c r="AZ60" s="129"/>
      <c r="BA60" s="129"/>
      <c r="BB60" s="129"/>
      <c r="BC60" s="129"/>
      <c r="BD60" s="129"/>
      <c r="BE60" s="129"/>
      <c r="BF60" s="129"/>
      <c r="BG60" s="129"/>
      <c r="BH60" s="130"/>
    </row>
    <row r="61" spans="1:60" s="83" customFormat="1" ht="27.75" x14ac:dyDescent="0.2">
      <c r="A61" s="133"/>
      <c r="B61" s="134"/>
      <c r="C61" s="180" t="s">
        <v>126</v>
      </c>
      <c r="D61" s="179">
        <f>F49</f>
        <v>17102006.744209446</v>
      </c>
      <c r="E61" s="136"/>
      <c r="F61" s="129"/>
      <c r="G61" s="129"/>
      <c r="H61" s="129"/>
      <c r="I61" s="129"/>
      <c r="J61" s="128"/>
      <c r="K61" s="128"/>
      <c r="L61" s="128"/>
      <c r="M61" s="129"/>
      <c r="N61" s="129"/>
      <c r="O61" s="129"/>
      <c r="P61" s="129"/>
      <c r="Q61" s="129"/>
      <c r="R61" s="129"/>
      <c r="S61" s="129"/>
      <c r="T61" s="129"/>
      <c r="U61" s="129"/>
      <c r="V61" s="129"/>
      <c r="W61" s="129"/>
      <c r="X61" s="129"/>
      <c r="Y61" s="129"/>
      <c r="Z61" s="129"/>
      <c r="AA61" s="130"/>
      <c r="AB61" s="78"/>
      <c r="AC61" s="78"/>
      <c r="AD61" s="78"/>
      <c r="AE61" s="78"/>
      <c r="AF61" s="78"/>
      <c r="AG61" s="78"/>
      <c r="AL61" s="136"/>
      <c r="AM61" s="129"/>
      <c r="AN61" s="129"/>
      <c r="AO61" s="129"/>
      <c r="AP61" s="129"/>
      <c r="AQ61" s="129"/>
      <c r="AR61" s="129"/>
      <c r="AS61" s="129"/>
      <c r="AT61" s="129"/>
      <c r="AU61" s="129"/>
      <c r="AV61" s="129"/>
      <c r="AW61" s="129"/>
      <c r="AX61" s="129"/>
      <c r="AY61" s="129"/>
      <c r="AZ61" s="129"/>
      <c r="BA61" s="129"/>
      <c r="BB61" s="129"/>
      <c r="BC61" s="129"/>
      <c r="BD61" s="129"/>
      <c r="BE61" s="129"/>
      <c r="BF61" s="129"/>
      <c r="BG61" s="129"/>
      <c r="BH61" s="130"/>
    </row>
    <row r="62" spans="1:60" s="83" customFormat="1" x14ac:dyDescent="0.2">
      <c r="A62" s="133"/>
      <c r="B62" s="134"/>
      <c r="C62" s="193" t="s">
        <v>134</v>
      </c>
      <c r="D62" s="194">
        <f>AVERAGE(D59,D60,D61)</f>
        <v>12942448.715705292</v>
      </c>
      <c r="E62" s="136"/>
      <c r="F62" s="129"/>
      <c r="G62" s="129"/>
      <c r="H62" s="129"/>
      <c r="I62" s="129"/>
      <c r="J62" s="128"/>
      <c r="K62" s="128"/>
      <c r="L62" s="128"/>
      <c r="M62" s="129"/>
      <c r="N62" s="129"/>
      <c r="O62" s="129"/>
      <c r="P62" s="129"/>
      <c r="Q62" s="129"/>
      <c r="R62" s="129"/>
      <c r="S62" s="129"/>
      <c r="T62" s="129"/>
      <c r="U62" s="129"/>
      <c r="V62" s="129"/>
      <c r="W62" s="129"/>
      <c r="X62" s="129"/>
      <c r="Y62" s="129"/>
      <c r="Z62" s="129"/>
      <c r="AA62" s="130"/>
      <c r="AB62" s="78"/>
      <c r="AC62" s="78"/>
      <c r="AD62" s="78"/>
      <c r="AE62" s="78"/>
      <c r="AF62" s="78"/>
      <c r="AG62" s="78"/>
      <c r="AL62" s="136"/>
      <c r="AM62" s="129"/>
      <c r="AN62" s="129"/>
      <c r="AO62" s="129"/>
      <c r="AP62" s="129"/>
      <c r="AQ62" s="129"/>
      <c r="AR62" s="129"/>
      <c r="AS62" s="129"/>
      <c r="AT62" s="129"/>
      <c r="AU62" s="129"/>
      <c r="AV62" s="129"/>
      <c r="AW62" s="129"/>
      <c r="AX62" s="129"/>
      <c r="AY62" s="129"/>
      <c r="AZ62" s="129"/>
      <c r="BA62" s="129"/>
      <c r="BB62" s="129"/>
      <c r="BC62" s="129"/>
      <c r="BD62" s="129"/>
      <c r="BE62" s="129"/>
      <c r="BF62" s="129"/>
      <c r="BG62" s="129"/>
      <c r="BH62" s="130"/>
    </row>
    <row r="63" spans="1:60" s="120" customFormat="1" x14ac:dyDescent="0.2">
      <c r="A63" s="133"/>
      <c r="B63" s="125"/>
      <c r="D63" s="151"/>
      <c r="E63" s="129"/>
      <c r="F63" s="129"/>
      <c r="G63" s="129"/>
      <c r="H63" s="129"/>
      <c r="I63" s="129"/>
      <c r="J63" s="128"/>
      <c r="K63" s="128"/>
      <c r="L63" s="128"/>
      <c r="M63" s="129"/>
      <c r="N63" s="129"/>
      <c r="O63" s="129"/>
      <c r="P63" s="129"/>
      <c r="Q63" s="129"/>
      <c r="R63" s="129"/>
      <c r="S63" s="129"/>
      <c r="T63" s="129"/>
      <c r="U63" s="129"/>
      <c r="V63" s="129"/>
      <c r="W63" s="129"/>
      <c r="X63" s="129"/>
      <c r="Y63" s="129"/>
      <c r="Z63" s="129"/>
      <c r="AA63" s="130"/>
      <c r="AB63" s="78"/>
      <c r="AC63" s="78"/>
      <c r="AD63" s="78"/>
      <c r="AE63" s="78"/>
      <c r="AF63" s="123"/>
      <c r="AG63" s="124"/>
      <c r="AL63" s="129"/>
      <c r="AM63" s="129"/>
      <c r="AN63" s="129"/>
      <c r="AO63" s="129"/>
      <c r="AP63" s="129"/>
      <c r="AQ63" s="129"/>
      <c r="AR63" s="129"/>
      <c r="AS63" s="129"/>
      <c r="AT63" s="129"/>
      <c r="AU63" s="129"/>
      <c r="AV63" s="129"/>
      <c r="AW63" s="129"/>
      <c r="AX63" s="129"/>
      <c r="AY63" s="129"/>
      <c r="AZ63" s="129"/>
      <c r="BA63" s="129"/>
      <c r="BB63" s="129"/>
      <c r="BC63" s="129"/>
      <c r="BD63" s="129"/>
      <c r="BE63" s="129"/>
      <c r="BF63" s="129"/>
      <c r="BG63" s="129"/>
      <c r="BH63" s="129"/>
    </row>
    <row r="64" spans="1:60" x14ac:dyDescent="0.2">
      <c r="D64" s="181"/>
    </row>
    <row r="65" spans="4:4" x14ac:dyDescent="0.2">
      <c r="D65" s="181"/>
    </row>
  </sheetData>
  <hyperlinks>
    <hyperlink ref="D1" r:id="rId1" xr:uid="{468E15EB-70E5-42E7-ACE4-E5470DA30E62}"/>
  </hyperlinks>
  <pageMargins left="0.23622047244094491" right="0.23622047244094491" top="0.74803149606299213" bottom="0.74803149606299213" header="0.31496062992125984" footer="0.31496062992125984"/>
  <pageSetup scale="65" fitToHeight="6" orientation="landscape" r:id="rId2"/>
  <rowBreaks count="1" manualBreakCount="1">
    <brk id="43" max="16" man="1"/>
  </rowBreaks>
  <drawing r:id="rId3"/>
  <legacy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1CC29E-D883-409D-8B21-EFFDEABC68F9}">
  <dimension ref="A1:I98"/>
  <sheetViews>
    <sheetView zoomScale="70" zoomScaleNormal="70" workbookViewId="0">
      <selection activeCell="L6" sqref="L6"/>
    </sheetView>
  </sheetViews>
  <sheetFormatPr defaultColWidth="13.85546875" defaultRowHeight="14.25" x14ac:dyDescent="0.15"/>
  <cols>
    <col min="1" max="1" width="16.27734375" style="264" customWidth="1"/>
    <col min="2" max="2" width="105.0625" style="264" customWidth="1"/>
    <col min="3" max="4" width="17.484375" style="264" customWidth="1"/>
    <col min="5" max="5" width="12.23828125" style="264" customWidth="1"/>
    <col min="6" max="6" width="11.43359375" style="264" customWidth="1"/>
    <col min="7" max="7" width="12.23828125" style="264" customWidth="1"/>
    <col min="8" max="10" width="10.35546875" style="264" customWidth="1"/>
    <col min="11" max="256" width="13.85546875" style="264"/>
    <col min="257" max="257" width="13.98828125" style="264" customWidth="1"/>
    <col min="258" max="258" width="108.15625" style="264" customWidth="1"/>
    <col min="259" max="260" width="17.484375" style="264" customWidth="1"/>
    <col min="261" max="261" width="12.23828125" style="264" customWidth="1"/>
    <col min="262" max="262" width="11.43359375" style="264" customWidth="1"/>
    <col min="263" max="263" width="12.23828125" style="264" customWidth="1"/>
    <col min="264" max="266" width="10.35546875" style="264" customWidth="1"/>
    <col min="267" max="512" width="13.85546875" style="264"/>
    <col min="513" max="513" width="13.98828125" style="264" customWidth="1"/>
    <col min="514" max="514" width="108.15625" style="264" customWidth="1"/>
    <col min="515" max="516" width="17.484375" style="264" customWidth="1"/>
    <col min="517" max="517" width="12.23828125" style="264" customWidth="1"/>
    <col min="518" max="518" width="11.43359375" style="264" customWidth="1"/>
    <col min="519" max="519" width="12.23828125" style="264" customWidth="1"/>
    <col min="520" max="522" width="10.35546875" style="264" customWidth="1"/>
    <col min="523" max="768" width="13.85546875" style="264"/>
    <col min="769" max="769" width="13.98828125" style="264" customWidth="1"/>
    <col min="770" max="770" width="108.15625" style="264" customWidth="1"/>
    <col min="771" max="772" width="17.484375" style="264" customWidth="1"/>
    <col min="773" max="773" width="12.23828125" style="264" customWidth="1"/>
    <col min="774" max="774" width="11.43359375" style="264" customWidth="1"/>
    <col min="775" max="775" width="12.23828125" style="264" customWidth="1"/>
    <col min="776" max="778" width="10.35546875" style="264" customWidth="1"/>
    <col min="779" max="1024" width="13.85546875" style="264"/>
    <col min="1025" max="1025" width="13.98828125" style="264" customWidth="1"/>
    <col min="1026" max="1026" width="108.15625" style="264" customWidth="1"/>
    <col min="1027" max="1028" width="17.484375" style="264" customWidth="1"/>
    <col min="1029" max="1029" width="12.23828125" style="264" customWidth="1"/>
    <col min="1030" max="1030" width="11.43359375" style="264" customWidth="1"/>
    <col min="1031" max="1031" width="12.23828125" style="264" customWidth="1"/>
    <col min="1032" max="1034" width="10.35546875" style="264" customWidth="1"/>
    <col min="1035" max="1280" width="13.85546875" style="264"/>
    <col min="1281" max="1281" width="13.98828125" style="264" customWidth="1"/>
    <col min="1282" max="1282" width="108.15625" style="264" customWidth="1"/>
    <col min="1283" max="1284" width="17.484375" style="264" customWidth="1"/>
    <col min="1285" max="1285" width="12.23828125" style="264" customWidth="1"/>
    <col min="1286" max="1286" width="11.43359375" style="264" customWidth="1"/>
    <col min="1287" max="1287" width="12.23828125" style="264" customWidth="1"/>
    <col min="1288" max="1290" width="10.35546875" style="264" customWidth="1"/>
    <col min="1291" max="1536" width="13.85546875" style="264"/>
    <col min="1537" max="1537" width="13.98828125" style="264" customWidth="1"/>
    <col min="1538" max="1538" width="108.15625" style="264" customWidth="1"/>
    <col min="1539" max="1540" width="17.484375" style="264" customWidth="1"/>
    <col min="1541" max="1541" width="12.23828125" style="264" customWidth="1"/>
    <col min="1542" max="1542" width="11.43359375" style="264" customWidth="1"/>
    <col min="1543" max="1543" width="12.23828125" style="264" customWidth="1"/>
    <col min="1544" max="1546" width="10.35546875" style="264" customWidth="1"/>
    <col min="1547" max="1792" width="13.85546875" style="264"/>
    <col min="1793" max="1793" width="13.98828125" style="264" customWidth="1"/>
    <col min="1794" max="1794" width="108.15625" style="264" customWidth="1"/>
    <col min="1795" max="1796" width="17.484375" style="264" customWidth="1"/>
    <col min="1797" max="1797" width="12.23828125" style="264" customWidth="1"/>
    <col min="1798" max="1798" width="11.43359375" style="264" customWidth="1"/>
    <col min="1799" max="1799" width="12.23828125" style="264" customWidth="1"/>
    <col min="1800" max="1802" width="10.35546875" style="264" customWidth="1"/>
    <col min="1803" max="2048" width="13.85546875" style="264"/>
    <col min="2049" max="2049" width="13.98828125" style="264" customWidth="1"/>
    <col min="2050" max="2050" width="108.15625" style="264" customWidth="1"/>
    <col min="2051" max="2052" width="17.484375" style="264" customWidth="1"/>
    <col min="2053" max="2053" width="12.23828125" style="264" customWidth="1"/>
    <col min="2054" max="2054" width="11.43359375" style="264" customWidth="1"/>
    <col min="2055" max="2055" width="12.23828125" style="264" customWidth="1"/>
    <col min="2056" max="2058" width="10.35546875" style="264" customWidth="1"/>
    <col min="2059" max="2304" width="13.85546875" style="264"/>
    <col min="2305" max="2305" width="13.98828125" style="264" customWidth="1"/>
    <col min="2306" max="2306" width="108.15625" style="264" customWidth="1"/>
    <col min="2307" max="2308" width="17.484375" style="264" customWidth="1"/>
    <col min="2309" max="2309" width="12.23828125" style="264" customWidth="1"/>
    <col min="2310" max="2310" width="11.43359375" style="264" customWidth="1"/>
    <col min="2311" max="2311" width="12.23828125" style="264" customWidth="1"/>
    <col min="2312" max="2314" width="10.35546875" style="264" customWidth="1"/>
    <col min="2315" max="2560" width="13.85546875" style="264"/>
    <col min="2561" max="2561" width="13.98828125" style="264" customWidth="1"/>
    <col min="2562" max="2562" width="108.15625" style="264" customWidth="1"/>
    <col min="2563" max="2564" width="17.484375" style="264" customWidth="1"/>
    <col min="2565" max="2565" width="12.23828125" style="264" customWidth="1"/>
    <col min="2566" max="2566" width="11.43359375" style="264" customWidth="1"/>
    <col min="2567" max="2567" width="12.23828125" style="264" customWidth="1"/>
    <col min="2568" max="2570" width="10.35546875" style="264" customWidth="1"/>
    <col min="2571" max="2816" width="13.85546875" style="264"/>
    <col min="2817" max="2817" width="13.98828125" style="264" customWidth="1"/>
    <col min="2818" max="2818" width="108.15625" style="264" customWidth="1"/>
    <col min="2819" max="2820" width="17.484375" style="264" customWidth="1"/>
    <col min="2821" max="2821" width="12.23828125" style="264" customWidth="1"/>
    <col min="2822" max="2822" width="11.43359375" style="264" customWidth="1"/>
    <col min="2823" max="2823" width="12.23828125" style="264" customWidth="1"/>
    <col min="2824" max="2826" width="10.35546875" style="264" customWidth="1"/>
    <col min="2827" max="3072" width="13.85546875" style="264"/>
    <col min="3073" max="3073" width="13.98828125" style="264" customWidth="1"/>
    <col min="3074" max="3074" width="108.15625" style="264" customWidth="1"/>
    <col min="3075" max="3076" width="17.484375" style="264" customWidth="1"/>
    <col min="3077" max="3077" width="12.23828125" style="264" customWidth="1"/>
    <col min="3078" max="3078" width="11.43359375" style="264" customWidth="1"/>
    <col min="3079" max="3079" width="12.23828125" style="264" customWidth="1"/>
    <col min="3080" max="3082" width="10.35546875" style="264" customWidth="1"/>
    <col min="3083" max="3328" width="13.85546875" style="264"/>
    <col min="3329" max="3329" width="13.98828125" style="264" customWidth="1"/>
    <col min="3330" max="3330" width="108.15625" style="264" customWidth="1"/>
    <col min="3331" max="3332" width="17.484375" style="264" customWidth="1"/>
    <col min="3333" max="3333" width="12.23828125" style="264" customWidth="1"/>
    <col min="3334" max="3334" width="11.43359375" style="264" customWidth="1"/>
    <col min="3335" max="3335" width="12.23828125" style="264" customWidth="1"/>
    <col min="3336" max="3338" width="10.35546875" style="264" customWidth="1"/>
    <col min="3339" max="3584" width="13.85546875" style="264"/>
    <col min="3585" max="3585" width="13.98828125" style="264" customWidth="1"/>
    <col min="3586" max="3586" width="108.15625" style="264" customWidth="1"/>
    <col min="3587" max="3588" width="17.484375" style="264" customWidth="1"/>
    <col min="3589" max="3589" width="12.23828125" style="264" customWidth="1"/>
    <col min="3590" max="3590" width="11.43359375" style="264" customWidth="1"/>
    <col min="3591" max="3591" width="12.23828125" style="264" customWidth="1"/>
    <col min="3592" max="3594" width="10.35546875" style="264" customWidth="1"/>
    <col min="3595" max="3840" width="13.85546875" style="264"/>
    <col min="3841" max="3841" width="13.98828125" style="264" customWidth="1"/>
    <col min="3842" max="3842" width="108.15625" style="264" customWidth="1"/>
    <col min="3843" max="3844" width="17.484375" style="264" customWidth="1"/>
    <col min="3845" max="3845" width="12.23828125" style="264" customWidth="1"/>
    <col min="3846" max="3846" width="11.43359375" style="264" customWidth="1"/>
    <col min="3847" max="3847" width="12.23828125" style="264" customWidth="1"/>
    <col min="3848" max="3850" width="10.35546875" style="264" customWidth="1"/>
    <col min="3851" max="4096" width="13.85546875" style="264"/>
    <col min="4097" max="4097" width="13.98828125" style="264" customWidth="1"/>
    <col min="4098" max="4098" width="108.15625" style="264" customWidth="1"/>
    <col min="4099" max="4100" width="17.484375" style="264" customWidth="1"/>
    <col min="4101" max="4101" width="12.23828125" style="264" customWidth="1"/>
    <col min="4102" max="4102" width="11.43359375" style="264" customWidth="1"/>
    <col min="4103" max="4103" width="12.23828125" style="264" customWidth="1"/>
    <col min="4104" max="4106" width="10.35546875" style="264" customWidth="1"/>
    <col min="4107" max="4352" width="13.85546875" style="264"/>
    <col min="4353" max="4353" width="13.98828125" style="264" customWidth="1"/>
    <col min="4354" max="4354" width="108.15625" style="264" customWidth="1"/>
    <col min="4355" max="4356" width="17.484375" style="264" customWidth="1"/>
    <col min="4357" max="4357" width="12.23828125" style="264" customWidth="1"/>
    <col min="4358" max="4358" width="11.43359375" style="264" customWidth="1"/>
    <col min="4359" max="4359" width="12.23828125" style="264" customWidth="1"/>
    <col min="4360" max="4362" width="10.35546875" style="264" customWidth="1"/>
    <col min="4363" max="4608" width="13.85546875" style="264"/>
    <col min="4609" max="4609" width="13.98828125" style="264" customWidth="1"/>
    <col min="4610" max="4610" width="108.15625" style="264" customWidth="1"/>
    <col min="4611" max="4612" width="17.484375" style="264" customWidth="1"/>
    <col min="4613" max="4613" width="12.23828125" style="264" customWidth="1"/>
    <col min="4614" max="4614" width="11.43359375" style="264" customWidth="1"/>
    <col min="4615" max="4615" width="12.23828125" style="264" customWidth="1"/>
    <col min="4616" max="4618" width="10.35546875" style="264" customWidth="1"/>
    <col min="4619" max="4864" width="13.85546875" style="264"/>
    <col min="4865" max="4865" width="13.98828125" style="264" customWidth="1"/>
    <col min="4866" max="4866" width="108.15625" style="264" customWidth="1"/>
    <col min="4867" max="4868" width="17.484375" style="264" customWidth="1"/>
    <col min="4869" max="4869" width="12.23828125" style="264" customWidth="1"/>
    <col min="4870" max="4870" width="11.43359375" style="264" customWidth="1"/>
    <col min="4871" max="4871" width="12.23828125" style="264" customWidth="1"/>
    <col min="4872" max="4874" width="10.35546875" style="264" customWidth="1"/>
    <col min="4875" max="5120" width="13.85546875" style="264"/>
    <col min="5121" max="5121" width="13.98828125" style="264" customWidth="1"/>
    <col min="5122" max="5122" width="108.15625" style="264" customWidth="1"/>
    <col min="5123" max="5124" width="17.484375" style="264" customWidth="1"/>
    <col min="5125" max="5125" width="12.23828125" style="264" customWidth="1"/>
    <col min="5126" max="5126" width="11.43359375" style="264" customWidth="1"/>
    <col min="5127" max="5127" width="12.23828125" style="264" customWidth="1"/>
    <col min="5128" max="5130" width="10.35546875" style="264" customWidth="1"/>
    <col min="5131" max="5376" width="13.85546875" style="264"/>
    <col min="5377" max="5377" width="13.98828125" style="264" customWidth="1"/>
    <col min="5378" max="5378" width="108.15625" style="264" customWidth="1"/>
    <col min="5379" max="5380" width="17.484375" style="264" customWidth="1"/>
    <col min="5381" max="5381" width="12.23828125" style="264" customWidth="1"/>
    <col min="5382" max="5382" width="11.43359375" style="264" customWidth="1"/>
    <col min="5383" max="5383" width="12.23828125" style="264" customWidth="1"/>
    <col min="5384" max="5386" width="10.35546875" style="264" customWidth="1"/>
    <col min="5387" max="5632" width="13.85546875" style="264"/>
    <col min="5633" max="5633" width="13.98828125" style="264" customWidth="1"/>
    <col min="5634" max="5634" width="108.15625" style="264" customWidth="1"/>
    <col min="5635" max="5636" width="17.484375" style="264" customWidth="1"/>
    <col min="5637" max="5637" width="12.23828125" style="264" customWidth="1"/>
    <col min="5638" max="5638" width="11.43359375" style="264" customWidth="1"/>
    <col min="5639" max="5639" width="12.23828125" style="264" customWidth="1"/>
    <col min="5640" max="5642" width="10.35546875" style="264" customWidth="1"/>
    <col min="5643" max="5888" width="13.85546875" style="264"/>
    <col min="5889" max="5889" width="13.98828125" style="264" customWidth="1"/>
    <col min="5890" max="5890" width="108.15625" style="264" customWidth="1"/>
    <col min="5891" max="5892" width="17.484375" style="264" customWidth="1"/>
    <col min="5893" max="5893" width="12.23828125" style="264" customWidth="1"/>
    <col min="5894" max="5894" width="11.43359375" style="264" customWidth="1"/>
    <col min="5895" max="5895" width="12.23828125" style="264" customWidth="1"/>
    <col min="5896" max="5898" width="10.35546875" style="264" customWidth="1"/>
    <col min="5899" max="6144" width="13.85546875" style="264"/>
    <col min="6145" max="6145" width="13.98828125" style="264" customWidth="1"/>
    <col min="6146" max="6146" width="108.15625" style="264" customWidth="1"/>
    <col min="6147" max="6148" width="17.484375" style="264" customWidth="1"/>
    <col min="6149" max="6149" width="12.23828125" style="264" customWidth="1"/>
    <col min="6150" max="6150" width="11.43359375" style="264" customWidth="1"/>
    <col min="6151" max="6151" width="12.23828125" style="264" customWidth="1"/>
    <col min="6152" max="6154" width="10.35546875" style="264" customWidth="1"/>
    <col min="6155" max="6400" width="13.85546875" style="264"/>
    <col min="6401" max="6401" width="13.98828125" style="264" customWidth="1"/>
    <col min="6402" max="6402" width="108.15625" style="264" customWidth="1"/>
    <col min="6403" max="6404" width="17.484375" style="264" customWidth="1"/>
    <col min="6405" max="6405" width="12.23828125" style="264" customWidth="1"/>
    <col min="6406" max="6406" width="11.43359375" style="264" customWidth="1"/>
    <col min="6407" max="6407" width="12.23828125" style="264" customWidth="1"/>
    <col min="6408" max="6410" width="10.35546875" style="264" customWidth="1"/>
    <col min="6411" max="6656" width="13.85546875" style="264"/>
    <col min="6657" max="6657" width="13.98828125" style="264" customWidth="1"/>
    <col min="6658" max="6658" width="108.15625" style="264" customWidth="1"/>
    <col min="6659" max="6660" width="17.484375" style="264" customWidth="1"/>
    <col min="6661" max="6661" width="12.23828125" style="264" customWidth="1"/>
    <col min="6662" max="6662" width="11.43359375" style="264" customWidth="1"/>
    <col min="6663" max="6663" width="12.23828125" style="264" customWidth="1"/>
    <col min="6664" max="6666" width="10.35546875" style="264" customWidth="1"/>
    <col min="6667" max="6912" width="13.85546875" style="264"/>
    <col min="6913" max="6913" width="13.98828125" style="264" customWidth="1"/>
    <col min="6914" max="6914" width="108.15625" style="264" customWidth="1"/>
    <col min="6915" max="6916" width="17.484375" style="264" customWidth="1"/>
    <col min="6917" max="6917" width="12.23828125" style="264" customWidth="1"/>
    <col min="6918" max="6918" width="11.43359375" style="264" customWidth="1"/>
    <col min="6919" max="6919" width="12.23828125" style="264" customWidth="1"/>
    <col min="6920" max="6922" width="10.35546875" style="264" customWidth="1"/>
    <col min="6923" max="7168" width="13.85546875" style="264"/>
    <col min="7169" max="7169" width="13.98828125" style="264" customWidth="1"/>
    <col min="7170" max="7170" width="108.15625" style="264" customWidth="1"/>
    <col min="7171" max="7172" width="17.484375" style="264" customWidth="1"/>
    <col min="7173" max="7173" width="12.23828125" style="264" customWidth="1"/>
    <col min="7174" max="7174" width="11.43359375" style="264" customWidth="1"/>
    <col min="7175" max="7175" width="12.23828125" style="264" customWidth="1"/>
    <col min="7176" max="7178" width="10.35546875" style="264" customWidth="1"/>
    <col min="7179" max="7424" width="13.85546875" style="264"/>
    <col min="7425" max="7425" width="13.98828125" style="264" customWidth="1"/>
    <col min="7426" max="7426" width="108.15625" style="264" customWidth="1"/>
    <col min="7427" max="7428" width="17.484375" style="264" customWidth="1"/>
    <col min="7429" max="7429" width="12.23828125" style="264" customWidth="1"/>
    <col min="7430" max="7430" width="11.43359375" style="264" customWidth="1"/>
    <col min="7431" max="7431" width="12.23828125" style="264" customWidth="1"/>
    <col min="7432" max="7434" width="10.35546875" style="264" customWidth="1"/>
    <col min="7435" max="7680" width="13.85546875" style="264"/>
    <col min="7681" max="7681" width="13.98828125" style="264" customWidth="1"/>
    <col min="7682" max="7682" width="108.15625" style="264" customWidth="1"/>
    <col min="7683" max="7684" width="17.484375" style="264" customWidth="1"/>
    <col min="7685" max="7685" width="12.23828125" style="264" customWidth="1"/>
    <col min="7686" max="7686" width="11.43359375" style="264" customWidth="1"/>
    <col min="7687" max="7687" width="12.23828125" style="264" customWidth="1"/>
    <col min="7688" max="7690" width="10.35546875" style="264" customWidth="1"/>
    <col min="7691" max="7936" width="13.85546875" style="264"/>
    <col min="7937" max="7937" width="13.98828125" style="264" customWidth="1"/>
    <col min="7938" max="7938" width="108.15625" style="264" customWidth="1"/>
    <col min="7939" max="7940" width="17.484375" style="264" customWidth="1"/>
    <col min="7941" max="7941" width="12.23828125" style="264" customWidth="1"/>
    <col min="7942" max="7942" width="11.43359375" style="264" customWidth="1"/>
    <col min="7943" max="7943" width="12.23828125" style="264" customWidth="1"/>
    <col min="7944" max="7946" width="10.35546875" style="264" customWidth="1"/>
    <col min="7947" max="8192" width="13.85546875" style="264"/>
    <col min="8193" max="8193" width="13.98828125" style="264" customWidth="1"/>
    <col min="8194" max="8194" width="108.15625" style="264" customWidth="1"/>
    <col min="8195" max="8196" width="17.484375" style="264" customWidth="1"/>
    <col min="8197" max="8197" width="12.23828125" style="264" customWidth="1"/>
    <col min="8198" max="8198" width="11.43359375" style="264" customWidth="1"/>
    <col min="8199" max="8199" width="12.23828125" style="264" customWidth="1"/>
    <col min="8200" max="8202" width="10.35546875" style="264" customWidth="1"/>
    <col min="8203" max="8448" width="13.85546875" style="264"/>
    <col min="8449" max="8449" width="13.98828125" style="264" customWidth="1"/>
    <col min="8450" max="8450" width="108.15625" style="264" customWidth="1"/>
    <col min="8451" max="8452" width="17.484375" style="264" customWidth="1"/>
    <col min="8453" max="8453" width="12.23828125" style="264" customWidth="1"/>
    <col min="8454" max="8454" width="11.43359375" style="264" customWidth="1"/>
    <col min="8455" max="8455" width="12.23828125" style="264" customWidth="1"/>
    <col min="8456" max="8458" width="10.35546875" style="264" customWidth="1"/>
    <col min="8459" max="8704" width="13.85546875" style="264"/>
    <col min="8705" max="8705" width="13.98828125" style="264" customWidth="1"/>
    <col min="8706" max="8706" width="108.15625" style="264" customWidth="1"/>
    <col min="8707" max="8708" width="17.484375" style="264" customWidth="1"/>
    <col min="8709" max="8709" width="12.23828125" style="264" customWidth="1"/>
    <col min="8710" max="8710" width="11.43359375" style="264" customWidth="1"/>
    <col min="8711" max="8711" width="12.23828125" style="264" customWidth="1"/>
    <col min="8712" max="8714" width="10.35546875" style="264" customWidth="1"/>
    <col min="8715" max="8960" width="13.85546875" style="264"/>
    <col min="8961" max="8961" width="13.98828125" style="264" customWidth="1"/>
    <col min="8962" max="8962" width="108.15625" style="264" customWidth="1"/>
    <col min="8963" max="8964" width="17.484375" style="264" customWidth="1"/>
    <col min="8965" max="8965" width="12.23828125" style="264" customWidth="1"/>
    <col min="8966" max="8966" width="11.43359375" style="264" customWidth="1"/>
    <col min="8967" max="8967" width="12.23828125" style="264" customWidth="1"/>
    <col min="8968" max="8970" width="10.35546875" style="264" customWidth="1"/>
    <col min="8971" max="9216" width="13.85546875" style="264"/>
    <col min="9217" max="9217" width="13.98828125" style="264" customWidth="1"/>
    <col min="9218" max="9218" width="108.15625" style="264" customWidth="1"/>
    <col min="9219" max="9220" width="17.484375" style="264" customWidth="1"/>
    <col min="9221" max="9221" width="12.23828125" style="264" customWidth="1"/>
    <col min="9222" max="9222" width="11.43359375" style="264" customWidth="1"/>
    <col min="9223" max="9223" width="12.23828125" style="264" customWidth="1"/>
    <col min="9224" max="9226" width="10.35546875" style="264" customWidth="1"/>
    <col min="9227" max="9472" width="13.85546875" style="264"/>
    <col min="9473" max="9473" width="13.98828125" style="264" customWidth="1"/>
    <col min="9474" max="9474" width="108.15625" style="264" customWidth="1"/>
    <col min="9475" max="9476" width="17.484375" style="264" customWidth="1"/>
    <col min="9477" max="9477" width="12.23828125" style="264" customWidth="1"/>
    <col min="9478" max="9478" width="11.43359375" style="264" customWidth="1"/>
    <col min="9479" max="9479" width="12.23828125" style="264" customWidth="1"/>
    <col min="9480" max="9482" width="10.35546875" style="264" customWidth="1"/>
    <col min="9483" max="9728" width="13.85546875" style="264"/>
    <col min="9729" max="9729" width="13.98828125" style="264" customWidth="1"/>
    <col min="9730" max="9730" width="108.15625" style="264" customWidth="1"/>
    <col min="9731" max="9732" width="17.484375" style="264" customWidth="1"/>
    <col min="9733" max="9733" width="12.23828125" style="264" customWidth="1"/>
    <col min="9734" max="9734" width="11.43359375" style="264" customWidth="1"/>
    <col min="9735" max="9735" width="12.23828125" style="264" customWidth="1"/>
    <col min="9736" max="9738" width="10.35546875" style="264" customWidth="1"/>
    <col min="9739" max="9984" width="13.85546875" style="264"/>
    <col min="9985" max="9985" width="13.98828125" style="264" customWidth="1"/>
    <col min="9986" max="9986" width="108.15625" style="264" customWidth="1"/>
    <col min="9987" max="9988" width="17.484375" style="264" customWidth="1"/>
    <col min="9989" max="9989" width="12.23828125" style="264" customWidth="1"/>
    <col min="9990" max="9990" width="11.43359375" style="264" customWidth="1"/>
    <col min="9991" max="9991" width="12.23828125" style="264" customWidth="1"/>
    <col min="9992" max="9994" width="10.35546875" style="264" customWidth="1"/>
    <col min="9995" max="10240" width="13.85546875" style="264"/>
    <col min="10241" max="10241" width="13.98828125" style="264" customWidth="1"/>
    <col min="10242" max="10242" width="108.15625" style="264" customWidth="1"/>
    <col min="10243" max="10244" width="17.484375" style="264" customWidth="1"/>
    <col min="10245" max="10245" width="12.23828125" style="264" customWidth="1"/>
    <col min="10246" max="10246" width="11.43359375" style="264" customWidth="1"/>
    <col min="10247" max="10247" width="12.23828125" style="264" customWidth="1"/>
    <col min="10248" max="10250" width="10.35546875" style="264" customWidth="1"/>
    <col min="10251" max="10496" width="13.85546875" style="264"/>
    <col min="10497" max="10497" width="13.98828125" style="264" customWidth="1"/>
    <col min="10498" max="10498" width="108.15625" style="264" customWidth="1"/>
    <col min="10499" max="10500" width="17.484375" style="264" customWidth="1"/>
    <col min="10501" max="10501" width="12.23828125" style="264" customWidth="1"/>
    <col min="10502" max="10502" width="11.43359375" style="264" customWidth="1"/>
    <col min="10503" max="10503" width="12.23828125" style="264" customWidth="1"/>
    <col min="10504" max="10506" width="10.35546875" style="264" customWidth="1"/>
    <col min="10507" max="10752" width="13.85546875" style="264"/>
    <col min="10753" max="10753" width="13.98828125" style="264" customWidth="1"/>
    <col min="10754" max="10754" width="108.15625" style="264" customWidth="1"/>
    <col min="10755" max="10756" width="17.484375" style="264" customWidth="1"/>
    <col min="10757" max="10757" width="12.23828125" style="264" customWidth="1"/>
    <col min="10758" max="10758" width="11.43359375" style="264" customWidth="1"/>
    <col min="10759" max="10759" width="12.23828125" style="264" customWidth="1"/>
    <col min="10760" max="10762" width="10.35546875" style="264" customWidth="1"/>
    <col min="10763" max="11008" width="13.85546875" style="264"/>
    <col min="11009" max="11009" width="13.98828125" style="264" customWidth="1"/>
    <col min="11010" max="11010" width="108.15625" style="264" customWidth="1"/>
    <col min="11011" max="11012" width="17.484375" style="264" customWidth="1"/>
    <col min="11013" max="11013" width="12.23828125" style="264" customWidth="1"/>
    <col min="11014" max="11014" width="11.43359375" style="264" customWidth="1"/>
    <col min="11015" max="11015" width="12.23828125" style="264" customWidth="1"/>
    <col min="11016" max="11018" width="10.35546875" style="264" customWidth="1"/>
    <col min="11019" max="11264" width="13.85546875" style="264"/>
    <col min="11265" max="11265" width="13.98828125" style="264" customWidth="1"/>
    <col min="11266" max="11266" width="108.15625" style="264" customWidth="1"/>
    <col min="11267" max="11268" width="17.484375" style="264" customWidth="1"/>
    <col min="11269" max="11269" width="12.23828125" style="264" customWidth="1"/>
    <col min="11270" max="11270" width="11.43359375" style="264" customWidth="1"/>
    <col min="11271" max="11271" width="12.23828125" style="264" customWidth="1"/>
    <col min="11272" max="11274" width="10.35546875" style="264" customWidth="1"/>
    <col min="11275" max="11520" width="13.85546875" style="264"/>
    <col min="11521" max="11521" width="13.98828125" style="264" customWidth="1"/>
    <col min="11522" max="11522" width="108.15625" style="264" customWidth="1"/>
    <col min="11523" max="11524" width="17.484375" style="264" customWidth="1"/>
    <col min="11525" max="11525" width="12.23828125" style="264" customWidth="1"/>
    <col min="11526" max="11526" width="11.43359375" style="264" customWidth="1"/>
    <col min="11527" max="11527" width="12.23828125" style="264" customWidth="1"/>
    <col min="11528" max="11530" width="10.35546875" style="264" customWidth="1"/>
    <col min="11531" max="11776" width="13.85546875" style="264"/>
    <col min="11777" max="11777" width="13.98828125" style="264" customWidth="1"/>
    <col min="11778" max="11778" width="108.15625" style="264" customWidth="1"/>
    <col min="11779" max="11780" width="17.484375" style="264" customWidth="1"/>
    <col min="11781" max="11781" width="12.23828125" style="264" customWidth="1"/>
    <col min="11782" max="11782" width="11.43359375" style="264" customWidth="1"/>
    <col min="11783" max="11783" width="12.23828125" style="264" customWidth="1"/>
    <col min="11784" max="11786" width="10.35546875" style="264" customWidth="1"/>
    <col min="11787" max="12032" width="13.85546875" style="264"/>
    <col min="12033" max="12033" width="13.98828125" style="264" customWidth="1"/>
    <col min="12034" max="12034" width="108.15625" style="264" customWidth="1"/>
    <col min="12035" max="12036" width="17.484375" style="264" customWidth="1"/>
    <col min="12037" max="12037" width="12.23828125" style="264" customWidth="1"/>
    <col min="12038" max="12038" width="11.43359375" style="264" customWidth="1"/>
    <col min="12039" max="12039" width="12.23828125" style="264" customWidth="1"/>
    <col min="12040" max="12042" width="10.35546875" style="264" customWidth="1"/>
    <col min="12043" max="12288" width="13.85546875" style="264"/>
    <col min="12289" max="12289" width="13.98828125" style="264" customWidth="1"/>
    <col min="12290" max="12290" width="108.15625" style="264" customWidth="1"/>
    <col min="12291" max="12292" width="17.484375" style="264" customWidth="1"/>
    <col min="12293" max="12293" width="12.23828125" style="264" customWidth="1"/>
    <col min="12294" max="12294" width="11.43359375" style="264" customWidth="1"/>
    <col min="12295" max="12295" width="12.23828125" style="264" customWidth="1"/>
    <col min="12296" max="12298" width="10.35546875" style="264" customWidth="1"/>
    <col min="12299" max="12544" width="13.85546875" style="264"/>
    <col min="12545" max="12545" width="13.98828125" style="264" customWidth="1"/>
    <col min="12546" max="12546" width="108.15625" style="264" customWidth="1"/>
    <col min="12547" max="12548" width="17.484375" style="264" customWidth="1"/>
    <col min="12549" max="12549" width="12.23828125" style="264" customWidth="1"/>
    <col min="12550" max="12550" width="11.43359375" style="264" customWidth="1"/>
    <col min="12551" max="12551" width="12.23828125" style="264" customWidth="1"/>
    <col min="12552" max="12554" width="10.35546875" style="264" customWidth="1"/>
    <col min="12555" max="12800" width="13.85546875" style="264"/>
    <col min="12801" max="12801" width="13.98828125" style="264" customWidth="1"/>
    <col min="12802" max="12802" width="108.15625" style="264" customWidth="1"/>
    <col min="12803" max="12804" width="17.484375" style="264" customWidth="1"/>
    <col min="12805" max="12805" width="12.23828125" style="264" customWidth="1"/>
    <col min="12806" max="12806" width="11.43359375" style="264" customWidth="1"/>
    <col min="12807" max="12807" width="12.23828125" style="264" customWidth="1"/>
    <col min="12808" max="12810" width="10.35546875" style="264" customWidth="1"/>
    <col min="12811" max="13056" width="13.85546875" style="264"/>
    <col min="13057" max="13057" width="13.98828125" style="264" customWidth="1"/>
    <col min="13058" max="13058" width="108.15625" style="264" customWidth="1"/>
    <col min="13059" max="13060" width="17.484375" style="264" customWidth="1"/>
    <col min="13061" max="13061" width="12.23828125" style="264" customWidth="1"/>
    <col min="13062" max="13062" width="11.43359375" style="264" customWidth="1"/>
    <col min="13063" max="13063" width="12.23828125" style="264" customWidth="1"/>
    <col min="13064" max="13066" width="10.35546875" style="264" customWidth="1"/>
    <col min="13067" max="13312" width="13.85546875" style="264"/>
    <col min="13313" max="13313" width="13.98828125" style="264" customWidth="1"/>
    <col min="13314" max="13314" width="108.15625" style="264" customWidth="1"/>
    <col min="13315" max="13316" width="17.484375" style="264" customWidth="1"/>
    <col min="13317" max="13317" width="12.23828125" style="264" customWidth="1"/>
    <col min="13318" max="13318" width="11.43359375" style="264" customWidth="1"/>
    <col min="13319" max="13319" width="12.23828125" style="264" customWidth="1"/>
    <col min="13320" max="13322" width="10.35546875" style="264" customWidth="1"/>
    <col min="13323" max="13568" width="13.85546875" style="264"/>
    <col min="13569" max="13569" width="13.98828125" style="264" customWidth="1"/>
    <col min="13570" max="13570" width="108.15625" style="264" customWidth="1"/>
    <col min="13571" max="13572" width="17.484375" style="264" customWidth="1"/>
    <col min="13573" max="13573" width="12.23828125" style="264" customWidth="1"/>
    <col min="13574" max="13574" width="11.43359375" style="264" customWidth="1"/>
    <col min="13575" max="13575" width="12.23828125" style="264" customWidth="1"/>
    <col min="13576" max="13578" width="10.35546875" style="264" customWidth="1"/>
    <col min="13579" max="13824" width="13.85546875" style="264"/>
    <col min="13825" max="13825" width="13.98828125" style="264" customWidth="1"/>
    <col min="13826" max="13826" width="108.15625" style="264" customWidth="1"/>
    <col min="13827" max="13828" width="17.484375" style="264" customWidth="1"/>
    <col min="13829" max="13829" width="12.23828125" style="264" customWidth="1"/>
    <col min="13830" max="13830" width="11.43359375" style="264" customWidth="1"/>
    <col min="13831" max="13831" width="12.23828125" style="264" customWidth="1"/>
    <col min="13832" max="13834" width="10.35546875" style="264" customWidth="1"/>
    <col min="13835" max="14080" width="13.85546875" style="264"/>
    <col min="14081" max="14081" width="13.98828125" style="264" customWidth="1"/>
    <col min="14082" max="14082" width="108.15625" style="264" customWidth="1"/>
    <col min="14083" max="14084" width="17.484375" style="264" customWidth="1"/>
    <col min="14085" max="14085" width="12.23828125" style="264" customWidth="1"/>
    <col min="14086" max="14086" width="11.43359375" style="264" customWidth="1"/>
    <col min="14087" max="14087" width="12.23828125" style="264" customWidth="1"/>
    <col min="14088" max="14090" width="10.35546875" style="264" customWidth="1"/>
    <col min="14091" max="14336" width="13.85546875" style="264"/>
    <col min="14337" max="14337" width="13.98828125" style="264" customWidth="1"/>
    <col min="14338" max="14338" width="108.15625" style="264" customWidth="1"/>
    <col min="14339" max="14340" width="17.484375" style="264" customWidth="1"/>
    <col min="14341" max="14341" width="12.23828125" style="264" customWidth="1"/>
    <col min="14342" max="14342" width="11.43359375" style="264" customWidth="1"/>
    <col min="14343" max="14343" width="12.23828125" style="264" customWidth="1"/>
    <col min="14344" max="14346" width="10.35546875" style="264" customWidth="1"/>
    <col min="14347" max="14592" width="13.85546875" style="264"/>
    <col min="14593" max="14593" width="13.98828125" style="264" customWidth="1"/>
    <col min="14594" max="14594" width="108.15625" style="264" customWidth="1"/>
    <col min="14595" max="14596" width="17.484375" style="264" customWidth="1"/>
    <col min="14597" max="14597" width="12.23828125" style="264" customWidth="1"/>
    <col min="14598" max="14598" width="11.43359375" style="264" customWidth="1"/>
    <col min="14599" max="14599" width="12.23828125" style="264" customWidth="1"/>
    <col min="14600" max="14602" width="10.35546875" style="264" customWidth="1"/>
    <col min="14603" max="14848" width="13.85546875" style="264"/>
    <col min="14849" max="14849" width="13.98828125" style="264" customWidth="1"/>
    <col min="14850" max="14850" width="108.15625" style="264" customWidth="1"/>
    <col min="14851" max="14852" width="17.484375" style="264" customWidth="1"/>
    <col min="14853" max="14853" width="12.23828125" style="264" customWidth="1"/>
    <col min="14854" max="14854" width="11.43359375" style="264" customWidth="1"/>
    <col min="14855" max="14855" width="12.23828125" style="264" customWidth="1"/>
    <col min="14856" max="14858" width="10.35546875" style="264" customWidth="1"/>
    <col min="14859" max="15104" width="13.85546875" style="264"/>
    <col min="15105" max="15105" width="13.98828125" style="264" customWidth="1"/>
    <col min="15106" max="15106" width="108.15625" style="264" customWidth="1"/>
    <col min="15107" max="15108" width="17.484375" style="264" customWidth="1"/>
    <col min="15109" max="15109" width="12.23828125" style="264" customWidth="1"/>
    <col min="15110" max="15110" width="11.43359375" style="264" customWidth="1"/>
    <col min="15111" max="15111" width="12.23828125" style="264" customWidth="1"/>
    <col min="15112" max="15114" width="10.35546875" style="264" customWidth="1"/>
    <col min="15115" max="15360" width="13.85546875" style="264"/>
    <col min="15361" max="15361" width="13.98828125" style="264" customWidth="1"/>
    <col min="15362" max="15362" width="108.15625" style="264" customWidth="1"/>
    <col min="15363" max="15364" width="17.484375" style="264" customWidth="1"/>
    <col min="15365" max="15365" width="12.23828125" style="264" customWidth="1"/>
    <col min="15366" max="15366" width="11.43359375" style="264" customWidth="1"/>
    <col min="15367" max="15367" width="12.23828125" style="264" customWidth="1"/>
    <col min="15368" max="15370" width="10.35546875" style="264" customWidth="1"/>
    <col min="15371" max="15616" width="13.85546875" style="264"/>
    <col min="15617" max="15617" width="13.98828125" style="264" customWidth="1"/>
    <col min="15618" max="15618" width="108.15625" style="264" customWidth="1"/>
    <col min="15619" max="15620" width="17.484375" style="264" customWidth="1"/>
    <col min="15621" max="15621" width="12.23828125" style="264" customWidth="1"/>
    <col min="15622" max="15622" width="11.43359375" style="264" customWidth="1"/>
    <col min="15623" max="15623" width="12.23828125" style="264" customWidth="1"/>
    <col min="15624" max="15626" width="10.35546875" style="264" customWidth="1"/>
    <col min="15627" max="15872" width="13.85546875" style="264"/>
    <col min="15873" max="15873" width="13.98828125" style="264" customWidth="1"/>
    <col min="15874" max="15874" width="108.15625" style="264" customWidth="1"/>
    <col min="15875" max="15876" width="17.484375" style="264" customWidth="1"/>
    <col min="15877" max="15877" width="12.23828125" style="264" customWidth="1"/>
    <col min="15878" max="15878" width="11.43359375" style="264" customWidth="1"/>
    <col min="15879" max="15879" width="12.23828125" style="264" customWidth="1"/>
    <col min="15880" max="15882" width="10.35546875" style="264" customWidth="1"/>
    <col min="15883" max="16128" width="13.85546875" style="264"/>
    <col min="16129" max="16129" width="13.98828125" style="264" customWidth="1"/>
    <col min="16130" max="16130" width="108.15625" style="264" customWidth="1"/>
    <col min="16131" max="16132" width="17.484375" style="264" customWidth="1"/>
    <col min="16133" max="16133" width="12.23828125" style="264" customWidth="1"/>
    <col min="16134" max="16134" width="11.43359375" style="264" customWidth="1"/>
    <col min="16135" max="16135" width="12.23828125" style="264" customWidth="1"/>
    <col min="16136" max="16138" width="10.35546875" style="264" customWidth="1"/>
    <col min="16139" max="16384" width="13.85546875" style="264"/>
  </cols>
  <sheetData>
    <row r="1" spans="1:7" ht="16.5" customHeight="1" x14ac:dyDescent="0.2">
      <c r="A1" s="276"/>
      <c r="B1" s="276"/>
      <c r="C1" s="276"/>
      <c r="D1" s="276"/>
      <c r="E1" s="276"/>
      <c r="F1" s="276"/>
      <c r="G1" s="277" t="s">
        <v>189</v>
      </c>
    </row>
    <row r="2" spans="1:7" ht="16.5" customHeight="1" x14ac:dyDescent="0.2">
      <c r="A2" s="276"/>
      <c r="B2" s="276"/>
      <c r="C2" s="276"/>
      <c r="D2" s="276"/>
      <c r="E2" s="276"/>
      <c r="F2" s="276"/>
      <c r="G2" s="278" t="s">
        <v>281</v>
      </c>
    </row>
    <row r="3" spans="1:7" ht="16.5" customHeight="1" x14ac:dyDescent="0.2">
      <c r="A3" s="276"/>
      <c r="B3" s="276"/>
      <c r="C3" s="276"/>
      <c r="D3" s="276"/>
      <c r="E3" s="276"/>
      <c r="F3" s="276"/>
      <c r="G3" s="276"/>
    </row>
    <row r="4" spans="1:7" ht="16.5" customHeight="1" x14ac:dyDescent="0.2">
      <c r="A4" s="279"/>
      <c r="B4" s="280" t="s">
        <v>190</v>
      </c>
      <c r="C4" s="281" t="s">
        <v>191</v>
      </c>
      <c r="D4" s="281" t="s">
        <v>192</v>
      </c>
      <c r="E4" s="282" t="s">
        <v>218</v>
      </c>
      <c r="F4" s="282" t="s">
        <v>219</v>
      </c>
      <c r="G4" s="282" t="s">
        <v>220</v>
      </c>
    </row>
    <row r="5" spans="1:7" ht="22.5" customHeight="1" x14ac:dyDescent="0.2">
      <c r="A5" s="279"/>
      <c r="B5" s="283" t="s">
        <v>193</v>
      </c>
      <c r="C5" s="281"/>
      <c r="D5" s="281"/>
      <c r="E5" s="282"/>
      <c r="F5" s="282"/>
      <c r="G5" s="282"/>
    </row>
    <row r="6" spans="1:7" ht="150.4" customHeight="1" x14ac:dyDescent="0.2">
      <c r="A6" s="284" t="s">
        <v>260</v>
      </c>
      <c r="B6" s="324" t="s">
        <v>262</v>
      </c>
      <c r="C6" s="325">
        <v>879</v>
      </c>
      <c r="D6" s="285">
        <f>C6*$G$2</f>
        <v>80868</v>
      </c>
      <c r="E6" s="286">
        <v>1</v>
      </c>
      <c r="F6" s="286">
        <f>C6*E6</f>
        <v>879</v>
      </c>
      <c r="G6" s="286">
        <f>D6*E6</f>
        <v>80868</v>
      </c>
    </row>
    <row r="7" spans="1:7" ht="151.9" customHeight="1" x14ac:dyDescent="0.2">
      <c r="A7" s="284" t="s">
        <v>260</v>
      </c>
      <c r="B7" s="324" t="s">
        <v>263</v>
      </c>
      <c r="C7" s="325">
        <v>987</v>
      </c>
      <c r="D7" s="285">
        <f>C7*$G$2</f>
        <v>90804</v>
      </c>
      <c r="E7" s="321">
        <v>1</v>
      </c>
      <c r="F7" s="286">
        <f>C7*E7</f>
        <v>987</v>
      </c>
      <c r="G7" s="286">
        <f>D7*E7</f>
        <v>90804</v>
      </c>
    </row>
    <row r="8" spans="1:7" ht="16.5" customHeight="1" x14ac:dyDescent="0.2">
      <c r="A8" s="279"/>
      <c r="B8" s="287" t="s">
        <v>194</v>
      </c>
      <c r="C8" s="288"/>
      <c r="D8" s="289"/>
      <c r="E8" s="290"/>
      <c r="F8" s="291"/>
      <c r="G8" s="291"/>
    </row>
    <row r="9" spans="1:7" ht="15" customHeight="1" x14ac:dyDescent="0.2">
      <c r="A9" s="292"/>
      <c r="B9" s="293" t="s">
        <v>195</v>
      </c>
      <c r="C9" s="326">
        <v>379</v>
      </c>
      <c r="D9" s="289">
        <f t="shared" ref="D9:D20" si="0">C9*$G$2</f>
        <v>34868</v>
      </c>
      <c r="E9" s="291">
        <v>1</v>
      </c>
      <c r="F9" s="291">
        <f>C9</f>
        <v>379</v>
      </c>
      <c r="G9" s="291">
        <f t="shared" ref="G9:G20" si="1">D9*E9</f>
        <v>34868</v>
      </c>
    </row>
    <row r="10" spans="1:7" ht="36" customHeight="1" x14ac:dyDescent="0.2">
      <c r="A10" s="292"/>
      <c r="B10" s="293" t="s">
        <v>196</v>
      </c>
      <c r="C10" s="326">
        <v>303</v>
      </c>
      <c r="D10" s="289">
        <f t="shared" si="0"/>
        <v>27876</v>
      </c>
      <c r="E10" s="291">
        <v>1</v>
      </c>
      <c r="F10" s="291">
        <f>C10</f>
        <v>303</v>
      </c>
      <c r="G10" s="291">
        <f t="shared" si="1"/>
        <v>27876</v>
      </c>
    </row>
    <row r="11" spans="1:7" ht="57.6" customHeight="1" x14ac:dyDescent="0.2">
      <c r="A11" s="292"/>
      <c r="B11" s="294" t="s">
        <v>197</v>
      </c>
      <c r="C11" s="327">
        <v>285</v>
      </c>
      <c r="D11" s="289">
        <f t="shared" si="0"/>
        <v>26220</v>
      </c>
      <c r="E11" s="291">
        <v>1</v>
      </c>
      <c r="F11" s="291">
        <f>C11*E11</f>
        <v>285</v>
      </c>
      <c r="G11" s="291">
        <f t="shared" si="1"/>
        <v>26220</v>
      </c>
    </row>
    <row r="12" spans="1:7" ht="30" customHeight="1" x14ac:dyDescent="0.2">
      <c r="A12" s="292"/>
      <c r="B12" s="295" t="s">
        <v>225</v>
      </c>
      <c r="C12" s="327">
        <v>245</v>
      </c>
      <c r="D12" s="289">
        <f t="shared" si="0"/>
        <v>22540</v>
      </c>
      <c r="E12" s="291">
        <v>1</v>
      </c>
      <c r="F12" s="291">
        <f>C12*E12</f>
        <v>245</v>
      </c>
      <c r="G12" s="291">
        <f t="shared" si="1"/>
        <v>22540</v>
      </c>
    </row>
    <row r="13" spans="1:7" ht="48.4" customHeight="1" x14ac:dyDescent="0.2">
      <c r="A13" s="292"/>
      <c r="B13" s="287" t="s">
        <v>227</v>
      </c>
      <c r="C13" s="296"/>
      <c r="D13" s="289"/>
      <c r="E13" s="297"/>
      <c r="F13" s="291"/>
      <c r="G13" s="291"/>
    </row>
    <row r="14" spans="1:7" ht="34.9" customHeight="1" x14ac:dyDescent="0.2">
      <c r="A14" s="292"/>
      <c r="B14" s="347" t="s">
        <v>276</v>
      </c>
      <c r="C14" s="327">
        <v>72</v>
      </c>
      <c r="D14" s="289">
        <f t="shared" si="0"/>
        <v>6624</v>
      </c>
      <c r="E14" s="291">
        <v>1</v>
      </c>
      <c r="F14" s="291">
        <f>C14*E14</f>
        <v>72</v>
      </c>
      <c r="G14" s="291">
        <f t="shared" si="1"/>
        <v>6624</v>
      </c>
    </row>
    <row r="15" spans="1:7" ht="37.5" customHeight="1" x14ac:dyDescent="0.2">
      <c r="A15" s="292"/>
      <c r="B15" s="348" t="s">
        <v>228</v>
      </c>
      <c r="C15" s="327">
        <v>93</v>
      </c>
      <c r="D15" s="289">
        <f t="shared" si="0"/>
        <v>8556</v>
      </c>
      <c r="E15" s="291">
        <v>1</v>
      </c>
      <c r="F15" s="291">
        <f>C15*E15</f>
        <v>93</v>
      </c>
      <c r="G15" s="291">
        <f t="shared" si="1"/>
        <v>8556</v>
      </c>
    </row>
    <row r="16" spans="1:7" ht="48" customHeight="1" x14ac:dyDescent="0.2">
      <c r="A16" s="292"/>
      <c r="B16" s="348" t="s">
        <v>198</v>
      </c>
      <c r="C16" s="327">
        <v>21</v>
      </c>
      <c r="D16" s="289">
        <f t="shared" si="0"/>
        <v>1932</v>
      </c>
      <c r="E16" s="291">
        <v>1</v>
      </c>
      <c r="F16" s="291">
        <f>C16*E16</f>
        <v>21</v>
      </c>
      <c r="G16" s="291">
        <f t="shared" si="1"/>
        <v>1932</v>
      </c>
    </row>
    <row r="17" spans="1:9" ht="28.9" customHeight="1" x14ac:dyDescent="0.2">
      <c r="A17" s="292"/>
      <c r="B17" s="283" t="s">
        <v>199</v>
      </c>
      <c r="C17" s="289"/>
      <c r="D17" s="289"/>
      <c r="E17" s="291"/>
      <c r="F17" s="291"/>
      <c r="G17" s="291"/>
    </row>
    <row r="18" spans="1:9" ht="30.75" customHeight="1" x14ac:dyDescent="0.2">
      <c r="A18" s="292"/>
      <c r="B18" s="347" t="s">
        <v>277</v>
      </c>
      <c r="C18" s="327">
        <v>168</v>
      </c>
      <c r="D18" s="289">
        <f t="shared" si="0"/>
        <v>15456</v>
      </c>
      <c r="E18" s="291">
        <v>1</v>
      </c>
      <c r="F18" s="291">
        <f>C18*E18</f>
        <v>168</v>
      </c>
      <c r="G18" s="291">
        <f t="shared" si="1"/>
        <v>15456</v>
      </c>
    </row>
    <row r="19" spans="1:9" ht="30.75" customHeight="1" x14ac:dyDescent="0.2">
      <c r="A19" s="292"/>
      <c r="B19" s="348" t="s">
        <v>278</v>
      </c>
      <c r="C19" s="327">
        <v>73</v>
      </c>
      <c r="D19" s="289">
        <f t="shared" si="0"/>
        <v>6716</v>
      </c>
      <c r="E19" s="291">
        <v>1</v>
      </c>
      <c r="F19" s="291">
        <f>C19*E19</f>
        <v>73</v>
      </c>
      <c r="G19" s="291">
        <f t="shared" si="1"/>
        <v>6716</v>
      </c>
    </row>
    <row r="20" spans="1:9" ht="30.75" customHeight="1" x14ac:dyDescent="0.2">
      <c r="A20" s="292"/>
      <c r="B20" s="348" t="s">
        <v>279</v>
      </c>
      <c r="C20" s="327">
        <v>119</v>
      </c>
      <c r="D20" s="289">
        <f t="shared" si="0"/>
        <v>10948</v>
      </c>
      <c r="E20" s="291">
        <v>1</v>
      </c>
      <c r="F20" s="291">
        <f>C20*E20</f>
        <v>119</v>
      </c>
      <c r="G20" s="291">
        <f t="shared" si="1"/>
        <v>10948</v>
      </c>
    </row>
    <row r="21" spans="1:9" ht="30" customHeight="1" x14ac:dyDescent="0.2">
      <c r="A21" s="292"/>
      <c r="B21" s="283" t="s">
        <v>221</v>
      </c>
      <c r="C21" s="285"/>
      <c r="D21" s="289"/>
      <c r="E21" s="286"/>
      <c r="F21" s="291"/>
      <c r="G21" s="291"/>
    </row>
    <row r="22" spans="1:9" customFormat="1" ht="16.5" customHeight="1" x14ac:dyDescent="0.2">
      <c r="A22" s="331" t="s">
        <v>260</v>
      </c>
      <c r="B22" s="328" t="s">
        <v>264</v>
      </c>
      <c r="C22" s="329"/>
      <c r="D22" s="329">
        <v>15500</v>
      </c>
      <c r="E22" s="330">
        <v>1</v>
      </c>
      <c r="F22" s="330"/>
      <c r="G22" s="330">
        <f>D22*E22</f>
        <v>15500</v>
      </c>
      <c r="I22" s="264"/>
    </row>
    <row r="23" spans="1:9" ht="16.5" customHeight="1" x14ac:dyDescent="0.2">
      <c r="A23" s="292" t="s">
        <v>229</v>
      </c>
      <c r="B23" s="280" t="s">
        <v>230</v>
      </c>
      <c r="C23" s="288"/>
      <c r="D23" s="329">
        <v>17500</v>
      </c>
      <c r="E23" s="291">
        <v>1</v>
      </c>
      <c r="F23" s="291"/>
      <c r="G23" s="291">
        <f>D23*E23</f>
        <v>17500</v>
      </c>
    </row>
    <row r="24" spans="1:9" ht="16.5" customHeight="1" x14ac:dyDescent="0.2">
      <c r="A24" s="292" t="s">
        <v>229</v>
      </c>
      <c r="B24" s="280" t="s">
        <v>231</v>
      </c>
      <c r="C24" s="288"/>
      <c r="D24" s="329">
        <v>25500</v>
      </c>
      <c r="E24" s="291">
        <v>1</v>
      </c>
      <c r="F24" s="291"/>
      <c r="G24" s="291">
        <f>D24*E24</f>
        <v>25500</v>
      </c>
    </row>
    <row r="25" spans="1:9" ht="16.5" customHeight="1" x14ac:dyDescent="0.15">
      <c r="A25" s="268"/>
      <c r="B25" s="265"/>
      <c r="C25" s="267"/>
      <c r="D25" s="270"/>
      <c r="E25" s="269"/>
      <c r="F25" s="266"/>
      <c r="G25" s="266"/>
    </row>
    <row r="26" spans="1:9" ht="16.5" customHeight="1" x14ac:dyDescent="0.15">
      <c r="A26" s="268" t="s">
        <v>261</v>
      </c>
      <c r="B26" s="271" t="s">
        <v>201</v>
      </c>
      <c r="C26" s="272"/>
      <c r="D26" s="273">
        <f>D6+D12+D14+D15+D16+D22</f>
        <v>136020</v>
      </c>
      <c r="E26" s="274">
        <v>1</v>
      </c>
      <c r="F26" s="275"/>
      <c r="G26" s="275">
        <f>D26*E26</f>
        <v>136020</v>
      </c>
    </row>
    <row r="27" spans="1:9" ht="16.5" customHeight="1" x14ac:dyDescent="0.15">
      <c r="A27" s="268" t="s">
        <v>173</v>
      </c>
      <c r="B27" s="271" t="s">
        <v>201</v>
      </c>
      <c r="C27" s="272"/>
      <c r="D27" s="273">
        <f>D7+D12+D14+D15+D16+D23</f>
        <v>147956</v>
      </c>
      <c r="E27" s="274">
        <v>1</v>
      </c>
      <c r="F27" s="275"/>
      <c r="G27" s="275">
        <f>D27*E27</f>
        <v>147956</v>
      </c>
    </row>
    <row r="28" spans="1:9" ht="15.75" customHeight="1" x14ac:dyDescent="0.15"/>
    <row r="29" spans="1:9" ht="15.75" customHeight="1" x14ac:dyDescent="0.15"/>
    <row r="30" spans="1:9" ht="15.75" customHeight="1" x14ac:dyDescent="0.15"/>
    <row r="31" spans="1:9" ht="15.75" customHeight="1" x14ac:dyDescent="0.15"/>
    <row r="32" spans="1:9" ht="15.75" customHeight="1" x14ac:dyDescent="0.15"/>
    <row r="33" ht="15.75" customHeight="1" x14ac:dyDescent="0.15"/>
    <row r="34" ht="15.75" customHeight="1" x14ac:dyDescent="0.15"/>
    <row r="35" ht="15.75" customHeight="1" x14ac:dyDescent="0.15"/>
    <row r="36" ht="15.75" customHeight="1" x14ac:dyDescent="0.15"/>
    <row r="37" ht="15.75" customHeight="1" x14ac:dyDescent="0.15"/>
    <row r="38" ht="15.75" customHeight="1" x14ac:dyDescent="0.15"/>
    <row r="39" ht="15.75" customHeight="1" x14ac:dyDescent="0.15"/>
    <row r="40" ht="15.75" customHeight="1" x14ac:dyDescent="0.15"/>
    <row r="41" ht="15.75" customHeight="1" x14ac:dyDescent="0.15"/>
    <row r="42" ht="15.75" customHeight="1" x14ac:dyDescent="0.15"/>
    <row r="43" ht="15.75" customHeight="1" x14ac:dyDescent="0.15"/>
    <row r="44" ht="15.75" customHeight="1" x14ac:dyDescent="0.15"/>
    <row r="45" ht="15.75" customHeight="1" x14ac:dyDescent="0.15"/>
    <row r="46" ht="15.75" customHeight="1" x14ac:dyDescent="0.15"/>
    <row r="47" ht="15.75" customHeight="1" x14ac:dyDescent="0.15"/>
    <row r="48" ht="15.75" customHeight="1" x14ac:dyDescent="0.15"/>
    <row r="49" ht="15.75" customHeight="1" x14ac:dyDescent="0.15"/>
    <row r="50" ht="15.75" customHeight="1" x14ac:dyDescent="0.15"/>
    <row r="51" ht="15.75" customHeight="1" x14ac:dyDescent="0.15"/>
    <row r="52" ht="15.75" customHeight="1" x14ac:dyDescent="0.15"/>
    <row r="53" ht="15.75" customHeight="1" x14ac:dyDescent="0.15"/>
    <row r="54" ht="15.75" customHeight="1" x14ac:dyDescent="0.15"/>
    <row r="55" ht="15.75" customHeight="1" x14ac:dyDescent="0.15"/>
    <row r="56" ht="15.75" customHeight="1" x14ac:dyDescent="0.15"/>
    <row r="57" ht="15.75" customHeight="1" x14ac:dyDescent="0.15"/>
    <row r="58" ht="15.75" customHeight="1" x14ac:dyDescent="0.15"/>
    <row r="59" ht="15.75" customHeight="1" x14ac:dyDescent="0.15"/>
    <row r="60" ht="15.75" customHeight="1" x14ac:dyDescent="0.15"/>
    <row r="61" ht="15.75" customHeight="1" x14ac:dyDescent="0.15"/>
    <row r="62" ht="15.75" customHeight="1" x14ac:dyDescent="0.15"/>
    <row r="63" ht="15.75" customHeight="1" x14ac:dyDescent="0.15"/>
    <row r="64" ht="15.75" customHeight="1" x14ac:dyDescent="0.15"/>
    <row r="65" ht="15.75" customHeight="1" x14ac:dyDescent="0.15"/>
    <row r="66" ht="15.75" customHeight="1" x14ac:dyDescent="0.15"/>
    <row r="67" ht="15.75" customHeight="1" x14ac:dyDescent="0.15"/>
    <row r="68" ht="15.75" customHeight="1" x14ac:dyDescent="0.15"/>
    <row r="69" ht="15.75" customHeight="1" x14ac:dyDescent="0.15"/>
    <row r="70" ht="15.75" customHeight="1" x14ac:dyDescent="0.15"/>
    <row r="71" ht="15.75" customHeight="1" x14ac:dyDescent="0.15"/>
    <row r="72" ht="15.75" customHeight="1" x14ac:dyDescent="0.15"/>
    <row r="73" ht="15.75" customHeight="1" x14ac:dyDescent="0.15"/>
    <row r="74" ht="15.75" customHeight="1" x14ac:dyDescent="0.15"/>
    <row r="75" ht="15.75" customHeight="1" x14ac:dyDescent="0.15"/>
    <row r="76" ht="15.75" customHeight="1" x14ac:dyDescent="0.15"/>
    <row r="77" ht="15.75" customHeight="1" x14ac:dyDescent="0.15"/>
    <row r="78" ht="15.75" customHeight="1" x14ac:dyDescent="0.15"/>
    <row r="79" ht="15.75" customHeight="1" x14ac:dyDescent="0.15"/>
    <row r="80" ht="15.75" customHeight="1" x14ac:dyDescent="0.15"/>
    <row r="81" ht="15.75" customHeight="1" x14ac:dyDescent="0.15"/>
    <row r="82" ht="15.75" customHeight="1" x14ac:dyDescent="0.15"/>
    <row r="83" ht="15.75" customHeight="1" x14ac:dyDescent="0.15"/>
    <row r="84" ht="15.75" customHeight="1" x14ac:dyDescent="0.15"/>
    <row r="85" ht="15.75" customHeight="1" x14ac:dyDescent="0.15"/>
    <row r="86" ht="15.75" customHeight="1" x14ac:dyDescent="0.15"/>
    <row r="87" ht="15.75" customHeight="1" x14ac:dyDescent="0.15"/>
    <row r="88" ht="15.75" customHeight="1" x14ac:dyDescent="0.15"/>
    <row r="89" ht="15.75" customHeight="1" x14ac:dyDescent="0.15"/>
    <row r="90" ht="15.75" customHeight="1" x14ac:dyDescent="0.15"/>
    <row r="91" ht="15.75" customHeight="1" x14ac:dyDescent="0.15"/>
    <row r="92" ht="15.75" customHeight="1" x14ac:dyDescent="0.15"/>
    <row r="93" ht="15.75" customHeight="1" x14ac:dyDescent="0.15"/>
    <row r="94" ht="15" customHeight="1" x14ac:dyDescent="0.15"/>
    <row r="95" ht="15" customHeight="1" x14ac:dyDescent="0.15"/>
    <row r="96" ht="15" customHeight="1" x14ac:dyDescent="0.15"/>
    <row r="97" ht="15" customHeight="1" x14ac:dyDescent="0.15"/>
    <row r="98" ht="15" customHeight="1" x14ac:dyDescent="0.15"/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Excel Android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Вводные данные</vt:lpstr>
      <vt:lpstr>Модель</vt:lpstr>
      <vt:lpstr>Результаты</vt:lpstr>
      <vt:lpstr>Спецификация</vt:lpstr>
      <vt:lpstr>Результаты!Область_печати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Laptop</dc:creator>
  <cp:lastModifiedBy>адм</cp:lastModifiedBy>
  <cp:lastPrinted>2022-02-20T16:00:33Z</cp:lastPrinted>
  <dcterms:created xsi:type="dcterms:W3CDTF">2019-07-11T13:20:34Z</dcterms:created>
  <dcterms:modified xsi:type="dcterms:W3CDTF">2024-10-02T09:46:24Z</dcterms:modified>
</cp:coreProperties>
</file>